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Publishing\020206\"/>
    </mc:Choice>
  </mc:AlternateContent>
  <xr:revisionPtr revIDLastSave="0" documentId="13_ncr:1_{FF25895E-8523-43C2-B68E-9108FFE82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iled GSEA results" sheetId="5" r:id="rId1"/>
  </sheets>
  <definedNames>
    <definedName name="_xlnm._FilterDatabase" localSheetId="0" hidden="1">'Compiled GSEA results'!$A$3:$F$3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09" i="5" l="1"/>
  <c r="B5152" i="5"/>
  <c r="B5820" i="5"/>
  <c r="B5453" i="5"/>
  <c r="B6309" i="5"/>
  <c r="B18" i="5"/>
  <c r="B72" i="5"/>
  <c r="B2389" i="5"/>
  <c r="B4522" i="5"/>
  <c r="B3630" i="5"/>
  <c r="B435" i="5"/>
  <c r="B905" i="5"/>
  <c r="B5909" i="5"/>
  <c r="B4143" i="5"/>
  <c r="B5810" i="5"/>
  <c r="B419" i="5"/>
  <c r="B2593" i="5"/>
  <c r="B2288" i="5"/>
  <c r="B2151" i="5"/>
  <c r="B5925" i="5"/>
  <c r="B2729" i="5"/>
  <c r="B2230" i="5"/>
  <c r="B3487" i="5"/>
  <c r="B2770" i="5"/>
  <c r="B2238" i="5"/>
  <c r="B2224" i="5"/>
  <c r="B6311" i="5"/>
  <c r="B470" i="5"/>
  <c r="B621" i="5"/>
  <c r="B2499" i="5"/>
  <c r="B3832" i="5"/>
  <c r="B2812" i="5"/>
  <c r="B1096" i="5"/>
  <c r="B1287" i="5"/>
  <c r="B2984" i="5"/>
  <c r="B6611" i="5"/>
  <c r="B1222" i="5"/>
  <c r="B2744" i="5"/>
  <c r="B5548" i="5"/>
  <c r="B4226" i="5"/>
  <c r="B4283" i="5"/>
  <c r="B1669" i="5"/>
  <c r="B3884" i="5"/>
  <c r="B5962" i="5"/>
  <c r="B2609" i="5"/>
  <c r="B3566" i="5"/>
  <c r="B6097" i="5"/>
  <c r="B1522" i="5"/>
  <c r="B6514" i="5"/>
  <c r="B3022" i="5"/>
  <c r="B4430" i="5"/>
  <c r="B5943" i="5"/>
  <c r="B5159" i="5"/>
  <c r="B61" i="5"/>
  <c r="B4135" i="5"/>
  <c r="B5755" i="5"/>
  <c r="B3226" i="5"/>
  <c r="B204" i="5"/>
  <c r="B1204" i="5"/>
  <c r="B3472" i="5"/>
  <c r="B190" i="5"/>
  <c r="B1519" i="5"/>
  <c r="B168" i="5"/>
  <c r="B743" i="5"/>
  <c r="B1233" i="5"/>
  <c r="B221" i="5"/>
  <c r="B918" i="5"/>
  <c r="B1758" i="5"/>
  <c r="B1236" i="5"/>
  <c r="B264" i="5"/>
  <c r="B652" i="5"/>
  <c r="B338" i="5"/>
  <c r="B561" i="5"/>
  <c r="B5131" i="5"/>
  <c r="B1616" i="5"/>
  <c r="B2178" i="5"/>
  <c r="B5428" i="5"/>
  <c r="B5009" i="5"/>
  <c r="B2017" i="5"/>
  <c r="B510" i="5"/>
  <c r="B2388" i="5"/>
  <c r="B1202" i="5"/>
  <c r="B4268" i="5"/>
  <c r="B1706" i="5"/>
  <c r="B931" i="5"/>
  <c r="B2513" i="5"/>
  <c r="B3109" i="5"/>
  <c r="B1094" i="5"/>
  <c r="B3933" i="5"/>
  <c r="B4942" i="5"/>
  <c r="B5163" i="5"/>
  <c r="B5175" i="5"/>
  <c r="B5005" i="5"/>
  <c r="B4244" i="5"/>
  <c r="B4654" i="5"/>
  <c r="B5328" i="5"/>
  <c r="B3747" i="5"/>
  <c r="B3754" i="5"/>
  <c r="B415" i="5"/>
  <c r="B442" i="5"/>
  <c r="B365" i="5"/>
  <c r="B6162" i="5"/>
  <c r="B4562" i="5"/>
  <c r="B783" i="5"/>
  <c r="B2148" i="5"/>
  <c r="B3052" i="5"/>
  <c r="B5800" i="5"/>
  <c r="B5969" i="5"/>
  <c r="B2449" i="5"/>
  <c r="B989" i="5"/>
  <c r="B1120" i="5"/>
  <c r="B3287" i="5"/>
  <c r="B6615" i="5"/>
  <c r="B1055" i="5"/>
  <c r="B3637" i="5"/>
  <c r="B1628" i="5"/>
  <c r="B712" i="5"/>
  <c r="B5850" i="5"/>
  <c r="B3229" i="5"/>
  <c r="B3557" i="5"/>
  <c r="B2667" i="5"/>
  <c r="B4757" i="5"/>
  <c r="B3204" i="5"/>
  <c r="B6530" i="5"/>
  <c r="B615" i="5"/>
  <c r="B1176" i="5"/>
  <c r="B596" i="5"/>
  <c r="B4618" i="5"/>
  <c r="B5294" i="5"/>
  <c r="B164" i="5"/>
  <c r="B2557" i="5"/>
  <c r="B493" i="5"/>
  <c r="B3986" i="5"/>
  <c r="B2193" i="5"/>
  <c r="B2950" i="5"/>
  <c r="B3179" i="5"/>
  <c r="B526" i="5"/>
  <c r="B688" i="5"/>
  <c r="B2782" i="5"/>
  <c r="B882" i="5"/>
  <c r="B763" i="5"/>
  <c r="B3945" i="5"/>
  <c r="B3296" i="5"/>
  <c r="B4129" i="5"/>
  <c r="B5296" i="5"/>
  <c r="B2379" i="5"/>
  <c r="B4928" i="5"/>
  <c r="B3058" i="5"/>
  <c r="B4697" i="5"/>
  <c r="B4723" i="5"/>
  <c r="B1197" i="5"/>
  <c r="B1480" i="5"/>
  <c r="B4502" i="5"/>
  <c r="B6393" i="5"/>
  <c r="B5511" i="5"/>
  <c r="B6415" i="5"/>
  <c r="B2267" i="5"/>
  <c r="B5340" i="5"/>
  <c r="B3765" i="5"/>
  <c r="B785" i="5"/>
  <c r="B1535" i="5"/>
  <c r="B4100" i="5"/>
  <c r="B4310" i="5"/>
  <c r="B6198" i="5"/>
  <c r="B4582" i="5"/>
  <c r="B3538" i="5"/>
  <c r="B4518" i="5"/>
  <c r="B2780" i="5"/>
  <c r="B4817" i="5"/>
  <c r="B4446" i="5"/>
  <c r="B4878" i="5"/>
  <c r="B5336" i="5"/>
  <c r="B6593" i="5"/>
  <c r="B4847" i="5"/>
  <c r="B6399" i="5"/>
  <c r="B6261" i="5"/>
  <c r="B5944" i="5"/>
  <c r="B4750" i="5"/>
  <c r="B6395" i="5"/>
  <c r="B6509" i="5"/>
  <c r="B6496" i="5"/>
  <c r="B4239" i="5"/>
  <c r="B2039" i="5"/>
  <c r="B4682" i="5"/>
  <c r="B5616" i="5"/>
  <c r="B1765" i="5"/>
  <c r="B6417" i="5"/>
  <c r="B4465" i="5"/>
  <c r="B4667" i="5"/>
  <c r="B5230" i="5"/>
  <c r="B6350" i="5"/>
  <c r="B244" i="5"/>
  <c r="B1040" i="5"/>
  <c r="B540" i="5"/>
  <c r="B1975" i="5"/>
  <c r="B969" i="5"/>
  <c r="B2015" i="5"/>
  <c r="B3376" i="5"/>
  <c r="B2137" i="5"/>
  <c r="B2732" i="5"/>
  <c r="B2624" i="5"/>
  <c r="B2783" i="5"/>
  <c r="B2447" i="5"/>
  <c r="B6426" i="5"/>
  <c r="B4963" i="5"/>
  <c r="B6614" i="5"/>
  <c r="B3498" i="5"/>
  <c r="B2878" i="5"/>
  <c r="B2542" i="5"/>
  <c r="B4322" i="5"/>
  <c r="B1106" i="5"/>
  <c r="B6042" i="5"/>
  <c r="B6404" i="5"/>
  <c r="B4885" i="5"/>
  <c r="B5482" i="5"/>
  <c r="B6493" i="5"/>
  <c r="B3411" i="5"/>
  <c r="B2900" i="5"/>
  <c r="B5588" i="5"/>
  <c r="B4729" i="5"/>
  <c r="B2779" i="5"/>
  <c r="B1006" i="5"/>
  <c r="B1528" i="5"/>
  <c r="B2275" i="5"/>
  <c r="B5068" i="5"/>
  <c r="B5852" i="5"/>
  <c r="B1936" i="5"/>
  <c r="B1501" i="5"/>
  <c r="B4571" i="5"/>
  <c r="B3372" i="5"/>
  <c r="B3255" i="5"/>
  <c r="B6359" i="5"/>
  <c r="B4774" i="5"/>
  <c r="B6106" i="5"/>
  <c r="B1968" i="5"/>
  <c r="B3666" i="5"/>
  <c r="B4737" i="5"/>
  <c r="B5326" i="5"/>
  <c r="B4078" i="5"/>
  <c r="B4379" i="5"/>
  <c r="B6427" i="5"/>
  <c r="B4321" i="5"/>
  <c r="B4665" i="5"/>
  <c r="B5197" i="5"/>
  <c r="B5792" i="5"/>
  <c r="B5007" i="5"/>
  <c r="B6450" i="5"/>
  <c r="B3595" i="5"/>
  <c r="B6383" i="5"/>
  <c r="B1787" i="5"/>
  <c r="B1221" i="5"/>
  <c r="B4413" i="5"/>
  <c r="B5982" i="5"/>
  <c r="B5237" i="5"/>
  <c r="B2742" i="5"/>
  <c r="B2663" i="5"/>
  <c r="B1395" i="5"/>
  <c r="B1075" i="5"/>
  <c r="B1238" i="5"/>
  <c r="B6254" i="5"/>
  <c r="B331" i="5"/>
  <c r="B4200" i="5"/>
  <c r="B3548" i="5"/>
  <c r="B2162" i="5"/>
  <c r="B2169" i="5"/>
  <c r="B1098" i="5"/>
  <c r="B2084" i="5"/>
  <c r="B3844" i="5"/>
  <c r="B520" i="5"/>
  <c r="B672" i="5"/>
  <c r="B299" i="5"/>
  <c r="B5238" i="5"/>
  <c r="B1314" i="5"/>
  <c r="B1681" i="5"/>
  <c r="B2858" i="5"/>
  <c r="B5123" i="5"/>
  <c r="B3362" i="5"/>
  <c r="B476" i="5"/>
  <c r="B1025" i="5"/>
  <c r="B5033" i="5"/>
  <c r="B913" i="5"/>
  <c r="B5589" i="5"/>
  <c r="B3094" i="5"/>
  <c r="B2175" i="5"/>
  <c r="B3881" i="5"/>
  <c r="B2602" i="5"/>
  <c r="B3241" i="5"/>
  <c r="B1693" i="5"/>
  <c r="B2587" i="5"/>
  <c r="B2372" i="5"/>
  <c r="B1390" i="5"/>
  <c r="B1305" i="5"/>
  <c r="B3169" i="5"/>
  <c r="B5818" i="5"/>
  <c r="B3665" i="5"/>
  <c r="B1818" i="5"/>
  <c r="B4427" i="5"/>
  <c r="B4232" i="5"/>
  <c r="B3519" i="5"/>
  <c r="B4017" i="5"/>
  <c r="B5283" i="5"/>
  <c r="B5398" i="5"/>
  <c r="B4684" i="5"/>
  <c r="B4323" i="5"/>
  <c r="B3143" i="5"/>
  <c r="B5862" i="5"/>
  <c r="B5086" i="5"/>
  <c r="B6293" i="5"/>
  <c r="B6328" i="5"/>
  <c r="B6325" i="5"/>
  <c r="B6559" i="5"/>
  <c r="B2381" i="5"/>
  <c r="B1513" i="5"/>
  <c r="B2676" i="5"/>
  <c r="B5648" i="5"/>
  <c r="B5135" i="5"/>
  <c r="B4826" i="5"/>
  <c r="B6542" i="5"/>
  <c r="B6517" i="5"/>
  <c r="B6552" i="5"/>
  <c r="B5620" i="5"/>
  <c r="B6242" i="5"/>
  <c r="B6061" i="5"/>
  <c r="B5846" i="5"/>
  <c r="B6211" i="5"/>
  <c r="B6138" i="5"/>
  <c r="B6544" i="5"/>
  <c r="B1821" i="5"/>
  <c r="B2584" i="5"/>
  <c r="B1315" i="5"/>
  <c r="B518" i="5"/>
  <c r="B4700" i="5"/>
  <c r="B5322" i="5"/>
  <c r="B841" i="5"/>
  <c r="B3383" i="5"/>
  <c r="B3664" i="5"/>
  <c r="B2335" i="5"/>
  <c r="B2514" i="5"/>
  <c r="B1477" i="5"/>
  <c r="B3285" i="5"/>
  <c r="B3352" i="5"/>
  <c r="B2035" i="5"/>
  <c r="B1667" i="5"/>
  <c r="B2655" i="5"/>
  <c r="B2606" i="5"/>
  <c r="B2774" i="5"/>
  <c r="B5583" i="5"/>
  <c r="B5764" i="5"/>
  <c r="B4136" i="5"/>
  <c r="B1737" i="5"/>
  <c r="B3166" i="5"/>
  <c r="B3330" i="5"/>
  <c r="B611" i="5"/>
  <c r="B6619" i="5"/>
  <c r="B6618" i="5"/>
  <c r="B4442" i="5"/>
  <c r="B5020" i="5"/>
  <c r="B5465" i="5"/>
  <c r="B2226" i="5"/>
  <c r="B5690" i="5"/>
  <c r="B4735" i="5"/>
  <c r="B5519" i="5"/>
  <c r="B5650" i="5"/>
  <c r="B2159" i="5"/>
  <c r="B1471" i="5"/>
  <c r="B2370" i="5"/>
  <c r="B6141" i="5"/>
  <c r="B6431" i="5"/>
  <c r="B6166" i="5"/>
  <c r="B5337" i="5"/>
  <c r="B6201" i="5"/>
  <c r="B5965" i="5"/>
  <c r="B5365" i="5"/>
  <c r="B3261" i="5"/>
  <c r="B6148" i="5"/>
  <c r="B5213" i="5"/>
  <c r="B2080" i="5"/>
  <c r="B617" i="5"/>
  <c r="B3976" i="5"/>
  <c r="B5475" i="5"/>
  <c r="B4696" i="5"/>
  <c r="B1071" i="5"/>
  <c r="B4341" i="5"/>
  <c r="B5924" i="5"/>
  <c r="B5545" i="5"/>
  <c r="B3658" i="5"/>
  <c r="B4837" i="5"/>
  <c r="B3801" i="5"/>
  <c r="B4630" i="5"/>
  <c r="B4319" i="5"/>
  <c r="B2345" i="5"/>
  <c r="B3347" i="5"/>
  <c r="B789" i="5"/>
  <c r="B737" i="5"/>
  <c r="B503" i="5"/>
  <c r="B1324" i="5"/>
  <c r="B2761" i="5"/>
  <c r="B1283" i="5"/>
  <c r="B6288" i="5"/>
  <c r="B6192" i="5"/>
  <c r="B1114" i="5"/>
  <c r="B4728" i="5"/>
  <c r="B6334" i="5"/>
  <c r="B5500" i="5"/>
  <c r="B4660" i="5"/>
  <c r="B5245" i="5"/>
  <c r="B3463" i="5"/>
  <c r="B5825" i="5"/>
  <c r="B1127" i="5"/>
  <c r="B1063" i="5"/>
  <c r="B5136" i="5"/>
  <c r="B6126" i="5"/>
  <c r="B5743" i="5"/>
  <c r="B6554" i="5"/>
  <c r="B6434" i="5"/>
  <c r="B1215" i="5"/>
  <c r="B4048" i="5"/>
  <c r="B6171" i="5"/>
  <c r="B4067" i="5"/>
  <c r="B3450" i="5"/>
  <c r="B2132" i="5"/>
  <c r="B3852" i="5"/>
  <c r="B6080" i="5"/>
  <c r="B4600" i="5"/>
  <c r="B826" i="5"/>
  <c r="B906" i="5"/>
  <c r="B4727" i="5"/>
  <c r="B623" i="5"/>
  <c r="B316" i="5"/>
  <c r="B3190" i="5"/>
  <c r="B1878" i="5"/>
  <c r="B1298" i="5"/>
  <c r="B2860" i="5"/>
  <c r="B4653" i="5"/>
  <c r="B6022" i="5"/>
  <c r="B2684" i="5"/>
  <c r="B1078" i="5"/>
  <c r="B4529" i="5"/>
  <c r="B4334" i="5"/>
  <c r="B3722" i="5"/>
  <c r="B4139" i="5"/>
  <c r="B6102" i="5"/>
  <c r="B4014" i="5"/>
  <c r="B833" i="5"/>
  <c r="B3310" i="5"/>
  <c r="B4495" i="5"/>
  <c r="B3790" i="5"/>
  <c r="B4267" i="5"/>
  <c r="B3789" i="5"/>
  <c r="B3714" i="5"/>
  <c r="B5178" i="5"/>
  <c r="B4121" i="5"/>
  <c r="B1837" i="5"/>
  <c r="B489" i="5"/>
  <c r="B2498" i="5"/>
  <c r="B677" i="5"/>
  <c r="B6074" i="5"/>
  <c r="B6129" i="5"/>
  <c r="B1865" i="5"/>
  <c r="B1809" i="5"/>
  <c r="B2997" i="5"/>
  <c r="B1276" i="5"/>
  <c r="B282" i="5"/>
  <c r="B543" i="5"/>
  <c r="B2110" i="5"/>
  <c r="B3817" i="5"/>
  <c r="B2951" i="5"/>
  <c r="B3044" i="5"/>
  <c r="B5835" i="5"/>
  <c r="B6169" i="5"/>
  <c r="B1327" i="5"/>
  <c r="B4407" i="5"/>
  <c r="B4701" i="5"/>
  <c r="B4177" i="5"/>
  <c r="B1001" i="5"/>
  <c r="B1847" i="5"/>
  <c r="B2292" i="5"/>
  <c r="B6285" i="5"/>
  <c r="B2839" i="5"/>
  <c r="B1299" i="5"/>
  <c r="B5754" i="5"/>
  <c r="B3813" i="5"/>
  <c r="B6425" i="5"/>
  <c r="B1571" i="5"/>
  <c r="B4387" i="5"/>
  <c r="B3416" i="5"/>
  <c r="B1674" i="5"/>
  <c r="B5670" i="5"/>
  <c r="B4913" i="5"/>
  <c r="B582" i="5"/>
  <c r="B6535" i="5"/>
  <c r="B6522" i="5"/>
  <c r="B5863" i="5"/>
  <c r="B1478" i="5"/>
  <c r="B599" i="5"/>
  <c r="B828" i="5"/>
  <c r="B53" i="5"/>
  <c r="B4296" i="5"/>
  <c r="B5155" i="5"/>
  <c r="B4957" i="5"/>
  <c r="B4889" i="5"/>
  <c r="B1773" i="5"/>
  <c r="B1410" i="5"/>
  <c r="B775" i="5"/>
  <c r="B1379" i="5"/>
  <c r="B4924" i="5"/>
  <c r="B2621" i="5"/>
  <c r="B2138" i="5"/>
  <c r="B1900" i="5"/>
  <c r="B5578" i="5"/>
  <c r="B874" i="5"/>
  <c r="B306" i="5"/>
  <c r="B4703" i="5"/>
  <c r="B5586" i="5"/>
  <c r="B5569" i="5"/>
  <c r="B1421" i="5"/>
  <c r="B669" i="5"/>
  <c r="B6438" i="5"/>
  <c r="B4095" i="5"/>
  <c r="B3894" i="5"/>
  <c r="B6500" i="5"/>
  <c r="B6573" i="5"/>
  <c r="B5445" i="5"/>
  <c r="B6391" i="5"/>
  <c r="B2018" i="5"/>
  <c r="B4243" i="5"/>
  <c r="B4850" i="5"/>
  <c r="B4931" i="5"/>
  <c r="B5209" i="5"/>
  <c r="B6113" i="5"/>
  <c r="B5661" i="5"/>
  <c r="B5814" i="5"/>
  <c r="B6601" i="5"/>
  <c r="B6143" i="5"/>
  <c r="B5400" i="5"/>
  <c r="B6489" i="5"/>
  <c r="B2790" i="5"/>
  <c r="B2530" i="5"/>
  <c r="B488" i="5"/>
  <c r="B516" i="5"/>
  <c r="B3086" i="5"/>
  <c r="B563" i="5"/>
  <c r="B4153" i="5"/>
  <c r="B1512" i="5"/>
  <c r="B2083" i="5"/>
  <c r="B4269" i="5"/>
  <c r="B4398" i="5"/>
  <c r="B3278" i="5"/>
  <c r="B6396" i="5"/>
  <c r="B1608" i="5"/>
  <c r="B1770" i="5"/>
  <c r="B3890" i="5"/>
  <c r="B4454" i="5"/>
  <c r="B3368" i="5"/>
  <c r="B1393" i="5"/>
  <c r="B5761" i="5"/>
  <c r="B4574" i="5"/>
  <c r="B922" i="5"/>
  <c r="B2856" i="5"/>
  <c r="B6335" i="5"/>
  <c r="B3607" i="5"/>
  <c r="B6471" i="5"/>
  <c r="B5315" i="5"/>
  <c r="B2252" i="5"/>
  <c r="B2423" i="5"/>
  <c r="B5000" i="5"/>
  <c r="B2164" i="5"/>
  <c r="B5384" i="5"/>
  <c r="B5347" i="5"/>
  <c r="B674" i="5"/>
  <c r="B715" i="5"/>
  <c r="B5903" i="5"/>
  <c r="B3928" i="5"/>
  <c r="B1180" i="5"/>
  <c r="B4336" i="5"/>
  <c r="B3642" i="5"/>
  <c r="B2775" i="5"/>
  <c r="B6394" i="5"/>
  <c r="B3430" i="5"/>
  <c r="B2604" i="5"/>
  <c r="B1705" i="5"/>
  <c r="B1703" i="5"/>
  <c r="B3616" i="5"/>
  <c r="B3026" i="5"/>
  <c r="B5038" i="5"/>
  <c r="B2959" i="5"/>
  <c r="B1714" i="5"/>
  <c r="B4824" i="5"/>
  <c r="B1846" i="5"/>
  <c r="B750" i="5"/>
  <c r="B1147" i="5"/>
  <c r="B2387" i="5"/>
  <c r="B1155" i="5"/>
  <c r="B1892" i="5"/>
  <c r="B3462" i="5"/>
  <c r="B418" i="5"/>
  <c r="B3299" i="5"/>
  <c r="B861" i="5"/>
  <c r="B67" i="5"/>
  <c r="B2669" i="5"/>
  <c r="B4028" i="5"/>
  <c r="B5910" i="5"/>
  <c r="B2908" i="5"/>
  <c r="B3405" i="5"/>
  <c r="B575" i="5"/>
  <c r="B4299" i="5"/>
  <c r="B1750" i="5"/>
  <c r="B29" i="5"/>
  <c r="B2483" i="5"/>
  <c r="B1660" i="5"/>
  <c r="B3573" i="5"/>
  <c r="B2086" i="5"/>
  <c r="B3970" i="5"/>
  <c r="B6340" i="5"/>
  <c r="B6357" i="5"/>
  <c r="B5459" i="5"/>
  <c r="B4607" i="5"/>
  <c r="B2516" i="5"/>
  <c r="B1995" i="5"/>
  <c r="B5921" i="5"/>
  <c r="B5952" i="5"/>
  <c r="B6382" i="5"/>
  <c r="B4467" i="5"/>
  <c r="B5128" i="5"/>
  <c r="B5343" i="5"/>
  <c r="B6028" i="5"/>
  <c r="B6078" i="5"/>
  <c r="B1771" i="5"/>
  <c r="B814" i="5"/>
  <c r="B2455" i="5"/>
  <c r="B1048" i="5"/>
  <c r="B1792" i="5"/>
  <c r="B1866" i="5"/>
  <c r="B1170" i="5"/>
  <c r="B1179" i="5"/>
  <c r="B196" i="5"/>
  <c r="B1727" i="5"/>
  <c r="B2001" i="5"/>
  <c r="B391" i="5"/>
  <c r="B804" i="5"/>
  <c r="B398" i="5"/>
  <c r="B3938" i="5"/>
  <c r="B911" i="5"/>
  <c r="B6210" i="5"/>
  <c r="B642" i="5"/>
  <c r="B848" i="5"/>
  <c r="B832" i="5"/>
  <c r="B2256" i="5"/>
  <c r="B4449" i="5"/>
  <c r="B5223" i="5"/>
  <c r="B5729" i="5"/>
  <c r="B4828" i="5"/>
  <c r="B2646" i="5"/>
  <c r="B4008" i="5"/>
  <c r="B1726" i="5"/>
  <c r="B2295" i="5"/>
  <c r="B5406" i="5"/>
  <c r="B6428" i="5"/>
  <c r="B6003" i="5"/>
  <c r="B1994" i="5"/>
  <c r="B3056" i="5"/>
  <c r="B2907" i="5"/>
  <c r="B4306" i="5"/>
  <c r="B4795" i="5"/>
  <c r="B1856" i="5"/>
  <c r="B6154" i="5"/>
  <c r="B2561" i="5"/>
  <c r="B2188" i="5"/>
  <c r="B899" i="5"/>
  <c r="B5774" i="5"/>
  <c r="B6199" i="5"/>
  <c r="B5554" i="5"/>
  <c r="B6408" i="5"/>
  <c r="B4612" i="5"/>
  <c r="B4438" i="5"/>
  <c r="B4289" i="5"/>
  <c r="B3569" i="5"/>
  <c r="B4084" i="5"/>
  <c r="B5093" i="5"/>
  <c r="B6001" i="5"/>
  <c r="B6300" i="5"/>
  <c r="B5138" i="5"/>
  <c r="B6295" i="5"/>
  <c r="B6387" i="5"/>
  <c r="B3828" i="5"/>
  <c r="B6159" i="5"/>
  <c r="B4766" i="5"/>
  <c r="B1169" i="5"/>
  <c r="B6564" i="5"/>
  <c r="B2320" i="5"/>
  <c r="B3008" i="5"/>
  <c r="B6362" i="5"/>
  <c r="B4420" i="5"/>
  <c r="B5502" i="5"/>
  <c r="B3357" i="5"/>
  <c r="B179" i="5"/>
  <c r="B5949" i="5"/>
  <c r="B678" i="5"/>
  <c r="B597" i="5"/>
  <c r="B5691" i="5"/>
  <c r="B3745" i="5"/>
  <c r="B4672" i="5"/>
  <c r="B2823" i="5"/>
  <c r="B1128" i="5"/>
  <c r="B84" i="5"/>
  <c r="B6561" i="5"/>
  <c r="B6557" i="5"/>
  <c r="B5542" i="5"/>
  <c r="B2049" i="5"/>
  <c r="B1806" i="5"/>
  <c r="B1335" i="5"/>
  <c r="B6378" i="5"/>
  <c r="B2217" i="5"/>
  <c r="B1932" i="5"/>
  <c r="B2469" i="5"/>
  <c r="B2074" i="5"/>
  <c r="B4027" i="5"/>
  <c r="B5210" i="5"/>
  <c r="B2005" i="5"/>
  <c r="B4384" i="5"/>
  <c r="B3011" i="5"/>
  <c r="B1267" i="5"/>
  <c r="B856" i="5"/>
  <c r="B4715" i="5"/>
  <c r="B274" i="5"/>
  <c r="B3683" i="5"/>
  <c r="B6356" i="5"/>
  <c r="B4725" i="5"/>
  <c r="B1303" i="5"/>
  <c r="B5980" i="5"/>
  <c r="B3145" i="5"/>
  <c r="B4259" i="5"/>
  <c r="B4041" i="5"/>
  <c r="B3501" i="5"/>
  <c r="B3846" i="5"/>
  <c r="B5961" i="5"/>
  <c r="B3288" i="5"/>
  <c r="B2679" i="5"/>
  <c r="B2062" i="5"/>
  <c r="B5153" i="5"/>
  <c r="B4539" i="5"/>
  <c r="B5752" i="5"/>
  <c r="B5730" i="5"/>
  <c r="B5886" i="5"/>
  <c r="B5520" i="5"/>
  <c r="B5106" i="5"/>
  <c r="B3436" i="5"/>
  <c r="B5725" i="5"/>
  <c r="B3172" i="5"/>
  <c r="B3615" i="5"/>
  <c r="B4799" i="5"/>
  <c r="B2817" i="5"/>
  <c r="B5462" i="5"/>
  <c r="B2397" i="5"/>
  <c r="B6099" i="5"/>
  <c r="B254" i="5"/>
  <c r="B6341" i="5"/>
  <c r="B6352" i="5"/>
  <c r="B6298" i="5"/>
  <c r="B1486" i="5"/>
  <c r="B6368" i="5"/>
  <c r="B1258" i="5"/>
  <c r="B5269" i="5"/>
  <c r="B6161" i="5"/>
  <c r="B6117" i="5"/>
  <c r="B2590" i="5"/>
  <c r="B3141" i="5"/>
  <c r="B1012" i="5"/>
  <c r="B255" i="5"/>
  <c r="B3234" i="5"/>
  <c r="B4051" i="5"/>
  <c r="B813" i="5"/>
  <c r="B6414" i="5"/>
  <c r="B1010" i="5"/>
  <c r="B3116" i="5"/>
  <c r="B3349" i="5"/>
  <c r="B6189" i="5"/>
  <c r="B4504" i="5"/>
  <c r="B581" i="5"/>
  <c r="B6229" i="5"/>
  <c r="B325" i="5"/>
  <c r="B5555" i="5"/>
  <c r="B528" i="5"/>
  <c r="B3428" i="5"/>
  <c r="B4553" i="5"/>
  <c r="B3473" i="5"/>
  <c r="B1766" i="5"/>
  <c r="B4282" i="5"/>
  <c r="B6317" i="5"/>
  <c r="B6613" i="5"/>
  <c r="B233" i="5"/>
  <c r="B2460" i="5"/>
  <c r="B151" i="5"/>
  <c r="B182" i="5"/>
  <c r="B1083" i="5"/>
  <c r="B333" i="5"/>
  <c r="B5813" i="5"/>
  <c r="B1373" i="5"/>
  <c r="B3935" i="5"/>
  <c r="B2497" i="5"/>
  <c r="B4451" i="5"/>
  <c r="B1424" i="5"/>
  <c r="B367" i="5"/>
  <c r="B5739" i="5"/>
  <c r="B6219" i="5"/>
  <c r="B6461" i="5"/>
  <c r="B1937" i="5"/>
  <c r="B1767" i="5"/>
  <c r="B6053" i="5"/>
  <c r="B177" i="5"/>
  <c r="B3413" i="5"/>
  <c r="B39" i="5"/>
  <c r="B2144" i="5"/>
  <c r="B658" i="5"/>
  <c r="B2043" i="5"/>
  <c r="B5770" i="5"/>
  <c r="B4971" i="5"/>
  <c r="B810" i="5"/>
  <c r="B2987" i="5"/>
  <c r="B6345" i="5"/>
  <c r="B4932" i="5"/>
  <c r="B6086" i="5"/>
  <c r="B5590" i="5"/>
  <c r="B2155" i="5"/>
  <c r="B6243" i="5"/>
  <c r="B894" i="5"/>
  <c r="B1950" i="5"/>
  <c r="B1928" i="5"/>
  <c r="B3063" i="5"/>
  <c r="B2097" i="5"/>
  <c r="B657" i="5"/>
  <c r="B656" i="5"/>
  <c r="B1833" i="5"/>
  <c r="B2068" i="5"/>
  <c r="B1563" i="5"/>
  <c r="B6267" i="5"/>
  <c r="B5991" i="5"/>
  <c r="B2958" i="5"/>
  <c r="B3791" i="5"/>
  <c r="B5211" i="5"/>
  <c r="B2620" i="5"/>
  <c r="B2849" i="5"/>
  <c r="B3829" i="5"/>
  <c r="B3617" i="5"/>
  <c r="B577" i="5"/>
  <c r="B3866" i="5"/>
  <c r="B3502" i="5"/>
  <c r="B5789" i="5"/>
  <c r="B5016" i="5"/>
  <c r="B4124" i="5"/>
  <c r="B1873" i="5"/>
  <c r="B5807" i="5"/>
  <c r="B6423" i="5"/>
  <c r="B6299" i="5"/>
  <c r="B5953" i="5"/>
  <c r="B96" i="5"/>
  <c r="B1683" i="5"/>
  <c r="B1745" i="5"/>
  <c r="B2477" i="5"/>
  <c r="B1590" i="5"/>
  <c r="B2019" i="5"/>
  <c r="B1940" i="5"/>
  <c r="B1459" i="5"/>
  <c r="B1111" i="5"/>
  <c r="B6163" i="5"/>
  <c r="B6262" i="5"/>
  <c r="B4082" i="5"/>
  <c r="B4251" i="5"/>
  <c r="B3207" i="5"/>
  <c r="B494" i="5"/>
  <c r="B3736" i="5"/>
  <c r="B2944" i="5"/>
  <c r="B963" i="5"/>
  <c r="B1469" i="5"/>
  <c r="B5773" i="5"/>
  <c r="B4270" i="5"/>
  <c r="B3476" i="5"/>
  <c r="B4915" i="5"/>
  <c r="B3212" i="5"/>
  <c r="B5849" i="5"/>
  <c r="B5254" i="5"/>
  <c r="B1621" i="5"/>
  <c r="B1007" i="5"/>
  <c r="B1165" i="5"/>
  <c r="B5089" i="5"/>
  <c r="B4120" i="5"/>
  <c r="B3794" i="5"/>
  <c r="B4305" i="5"/>
  <c r="B3914" i="5"/>
  <c r="B3126" i="5"/>
  <c r="B4482" i="5"/>
  <c r="B6462" i="5"/>
  <c r="B4448" i="5"/>
  <c r="B5996" i="5"/>
  <c r="B793" i="5"/>
  <c r="B2323" i="5"/>
  <c r="B917" i="5"/>
  <c r="B2915" i="5"/>
  <c r="B3819" i="5"/>
  <c r="B4843" i="5"/>
  <c r="B6330" i="5"/>
  <c r="B2294" i="5"/>
  <c r="B5344" i="5"/>
  <c r="B2575" i="5"/>
  <c r="B5898" i="5"/>
  <c r="B592" i="5"/>
  <c r="B3631" i="5"/>
  <c r="B5156" i="5"/>
  <c r="B769" i="5"/>
  <c r="B2352" i="5"/>
  <c r="B6" i="5"/>
  <c r="B1487" i="5"/>
  <c r="B4716" i="5"/>
  <c r="B3367" i="5"/>
  <c r="B320" i="5"/>
  <c r="B1536" i="5"/>
  <c r="B5078" i="5"/>
  <c r="B5382" i="5"/>
  <c r="B1810" i="5"/>
  <c r="B6598" i="5"/>
  <c r="B5872" i="5"/>
  <c r="B6274" i="5"/>
  <c r="B5912" i="5"/>
  <c r="B5719" i="5"/>
  <c r="B2400" i="5"/>
  <c r="B2819" i="5"/>
  <c r="B93" i="5"/>
  <c r="B5859" i="5"/>
  <c r="B4" i="5"/>
  <c r="B9" i="5"/>
  <c r="B5" i="5"/>
  <c r="B12" i="5"/>
  <c r="B218" i="5"/>
  <c r="B337" i="5"/>
  <c r="B3222" i="5"/>
  <c r="B5099" i="5"/>
  <c r="B1167" i="5"/>
  <c r="B6118" i="5"/>
  <c r="B3303" i="5"/>
  <c r="B2616" i="5"/>
  <c r="B2195" i="5"/>
  <c r="B78" i="5"/>
  <c r="B5543" i="5"/>
  <c r="B6353" i="5"/>
  <c r="B31" i="5"/>
  <c r="B40" i="5"/>
  <c r="B3214" i="5"/>
  <c r="B3331" i="5"/>
  <c r="B756" i="5"/>
  <c r="B2577" i="5"/>
  <c r="B703" i="5"/>
  <c r="B468" i="5"/>
  <c r="B1408" i="5"/>
  <c r="B16" i="5"/>
  <c r="B5682" i="5"/>
  <c r="B1249" i="5"/>
  <c r="B2973" i="5"/>
  <c r="B1301" i="5"/>
  <c r="B3775" i="5"/>
  <c r="B3262" i="5"/>
  <c r="B3500" i="5"/>
  <c r="B5185" i="5"/>
  <c r="B4525" i="5"/>
  <c r="B5556" i="5"/>
  <c r="B4627" i="5"/>
  <c r="B6195" i="5"/>
  <c r="B5147" i="5"/>
  <c r="B4810" i="5"/>
  <c r="B3705" i="5"/>
  <c r="B3104" i="5"/>
  <c r="B3704" i="5"/>
  <c r="B487" i="5"/>
  <c r="B5922" i="5"/>
  <c r="B413" i="5"/>
  <c r="B3934" i="5"/>
  <c r="B5902" i="5"/>
  <c r="B4890" i="5"/>
  <c r="B2626" i="5"/>
  <c r="B2383" i="5"/>
  <c r="B2912" i="5"/>
  <c r="B5613" i="5"/>
  <c r="B3359" i="5"/>
  <c r="B3652" i="5"/>
  <c r="B5416" i="5"/>
  <c r="B1084" i="5"/>
  <c r="B1341" i="5"/>
  <c r="B839" i="5"/>
  <c r="B4945" i="5"/>
  <c r="B5929" i="5"/>
  <c r="B4521" i="5"/>
  <c r="B5255" i="5"/>
  <c r="B4490" i="5"/>
  <c r="B6440" i="5"/>
  <c r="B2751" i="5"/>
  <c r="B2306" i="5"/>
  <c r="B837" i="5"/>
  <c r="B2980" i="5"/>
  <c r="B2936" i="5"/>
  <c r="B2016" i="5"/>
  <c r="B5878" i="5"/>
  <c r="B5834" i="5"/>
  <c r="B6017" i="5"/>
  <c r="B6046" i="5"/>
  <c r="B5574" i="5"/>
  <c r="B5609" i="5"/>
  <c r="B5724" i="5"/>
  <c r="B962" i="5"/>
  <c r="B1030" i="5"/>
  <c r="B1747" i="5"/>
  <c r="B4003" i="5"/>
  <c r="B6257" i="5"/>
  <c r="B4587" i="5"/>
  <c r="B6221" i="5"/>
  <c r="B6037" i="5"/>
  <c r="B6235" i="5"/>
  <c r="B6329" i="5"/>
  <c r="B6238" i="5"/>
  <c r="B6128" i="5"/>
  <c r="B6226" i="5"/>
  <c r="B6153" i="5"/>
  <c r="B4513" i="5"/>
  <c r="B3815" i="5"/>
  <c r="B4551" i="5"/>
  <c r="B1997" i="5"/>
  <c r="B6422" i="5"/>
  <c r="B6541" i="5"/>
  <c r="B5236" i="5"/>
  <c r="B3196" i="5"/>
  <c r="B6060" i="5"/>
  <c r="B6249" i="5"/>
  <c r="B4491" i="5"/>
  <c r="B3526" i="5"/>
  <c r="B5013" i="5"/>
  <c r="B4096" i="5"/>
  <c r="B4626" i="5"/>
  <c r="B5018" i="5"/>
  <c r="B4345" i="5"/>
  <c r="B2648" i="5"/>
  <c r="B2754" i="5"/>
  <c r="B4474" i="5"/>
  <c r="B4161" i="5"/>
  <c r="B4598" i="5"/>
  <c r="B5376" i="5"/>
  <c r="B6600" i="5"/>
  <c r="B4557" i="5"/>
  <c r="B3113" i="5"/>
  <c r="B6239" i="5"/>
  <c r="B4173" i="5"/>
  <c r="B4722" i="5"/>
  <c r="B6321" i="5"/>
  <c r="B2702" i="5"/>
  <c r="B3848" i="5"/>
  <c r="B4238" i="5"/>
  <c r="B4188" i="5"/>
  <c r="B4419" i="5"/>
  <c r="B4254" i="5"/>
  <c r="B1293" i="5"/>
  <c r="B2089" i="5"/>
  <c r="B5501" i="5"/>
  <c r="B4473" i="5"/>
  <c r="B3699" i="5"/>
  <c r="B4555" i="5"/>
  <c r="B4128" i="5"/>
  <c r="B5461" i="5"/>
  <c r="B4554" i="5"/>
  <c r="B4141" i="5"/>
  <c r="B5974" i="5"/>
  <c r="B4741" i="5"/>
  <c r="B5668" i="5"/>
  <c r="B5377" i="5"/>
  <c r="B2386" i="5"/>
  <c r="B4182" i="5"/>
  <c r="B5791" i="5"/>
  <c r="B1168" i="5"/>
  <c r="B5675" i="5"/>
  <c r="B4428" i="5"/>
  <c r="B6310" i="5"/>
  <c r="B2042" i="5"/>
  <c r="B1178" i="5"/>
  <c r="B1150" i="5"/>
  <c r="B639" i="5"/>
  <c r="B285" i="5"/>
  <c r="B2341" i="5"/>
  <c r="B400" i="5"/>
  <c r="B927" i="5"/>
  <c r="B2909" i="5"/>
  <c r="B1429" i="5"/>
  <c r="B429" i="5"/>
  <c r="B5913" i="5"/>
  <c r="B4934" i="5"/>
  <c r="B2894" i="5"/>
  <c r="B4049" i="5"/>
  <c r="B3635" i="5"/>
  <c r="B353" i="5"/>
  <c r="B2402" i="5"/>
  <c r="B1824" i="5"/>
  <c r="B5795" i="5"/>
  <c r="B6089" i="5"/>
  <c r="B3904" i="5"/>
  <c r="B3543" i="5"/>
  <c r="B6067" i="5"/>
  <c r="B4433" i="5"/>
  <c r="B4317" i="5"/>
  <c r="B2762" i="5"/>
  <c r="B6246" i="5"/>
  <c r="B6228" i="5"/>
  <c r="B6338" i="5"/>
  <c r="B2948" i="5"/>
  <c r="B5239" i="5"/>
  <c r="B2697" i="5"/>
  <c r="B5596" i="5"/>
  <c r="B4985" i="5"/>
  <c r="B4532" i="5"/>
  <c r="B5467" i="5"/>
  <c r="B4789" i="5"/>
  <c r="B5172" i="5"/>
  <c r="B6058" i="5"/>
  <c r="B1241" i="5"/>
  <c r="B2993" i="5"/>
  <c r="B4509" i="5"/>
  <c r="B4960" i="5"/>
  <c r="B1284" i="5"/>
  <c r="B3079" i="5"/>
  <c r="B3910" i="5"/>
  <c r="B4938" i="5"/>
  <c r="B5923" i="5"/>
  <c r="B4966" i="5"/>
  <c r="B3095" i="5"/>
  <c r="B2855" i="5"/>
  <c r="B5842" i="5"/>
  <c r="B6371" i="5"/>
  <c r="B529" i="5"/>
  <c r="B5694" i="5"/>
  <c r="B3197" i="5"/>
  <c r="B701" i="5"/>
  <c r="B1509" i="5"/>
  <c r="B399" i="5"/>
  <c r="B5244" i="5"/>
  <c r="B4262" i="5"/>
  <c r="B6186" i="5"/>
  <c r="B5058" i="5"/>
  <c r="B4081" i="5"/>
  <c r="B2453" i="5"/>
  <c r="B5158" i="5"/>
  <c r="B1538" i="5"/>
  <c r="B1653" i="5"/>
  <c r="B2173" i="5"/>
  <c r="B644" i="5"/>
  <c r="B1442" i="5"/>
  <c r="B2617" i="5"/>
  <c r="B3148" i="5"/>
  <c r="B6137" i="5"/>
  <c r="B2745" i="5"/>
  <c r="B2157" i="5"/>
  <c r="B6265" i="5"/>
  <c r="B4941" i="5"/>
  <c r="B2859" i="5"/>
  <c r="B1717" i="5"/>
  <c r="B3034" i="5"/>
  <c r="B4112" i="5"/>
  <c r="B4588" i="5"/>
  <c r="B5440" i="5"/>
  <c r="B5600" i="5"/>
  <c r="B4622" i="5"/>
  <c r="B2921" i="5"/>
  <c r="B3294" i="5"/>
  <c r="B6057" i="5"/>
  <c r="B3071" i="5"/>
  <c r="B2150" i="5"/>
  <c r="B5262" i="5"/>
  <c r="B5581" i="5"/>
  <c r="B4350" i="5"/>
  <c r="B1121" i="5"/>
  <c r="B5877" i="5"/>
  <c r="B4328" i="5"/>
  <c r="B6112" i="5"/>
  <c r="B6319" i="5"/>
  <c r="B6085" i="5"/>
  <c r="B4540" i="5"/>
  <c r="B4340" i="5"/>
  <c r="B4531" i="5"/>
  <c r="B6442" i="5"/>
  <c r="B5104" i="5"/>
  <c r="B5267" i="5"/>
  <c r="B5187" i="5"/>
  <c r="B5664" i="5"/>
  <c r="B1796" i="5"/>
  <c r="B1035" i="5"/>
  <c r="B5707" i="5"/>
  <c r="B336" i="5"/>
  <c r="B2607" i="5"/>
  <c r="B3471" i="5"/>
  <c r="B1184" i="5"/>
  <c r="B2177" i="5"/>
  <c r="B1838" i="5"/>
  <c r="B3397" i="5"/>
  <c r="B799" i="5"/>
  <c r="B1339" i="5"/>
  <c r="B2637" i="5"/>
  <c r="B1297" i="5"/>
  <c r="B889" i="5"/>
  <c r="B1640" i="5"/>
  <c r="B1282" i="5"/>
  <c r="B1989" i="5"/>
  <c r="B776" i="5"/>
  <c r="B3358" i="5"/>
  <c r="B2989" i="5"/>
  <c r="B1555" i="5"/>
  <c r="B222" i="5"/>
  <c r="B2331" i="5"/>
  <c r="B741" i="5"/>
  <c r="B482" i="5"/>
  <c r="B1425" i="5"/>
  <c r="B447" i="5"/>
  <c r="B1334" i="5"/>
  <c r="B1635" i="5"/>
  <c r="B684" i="5"/>
  <c r="B876" i="5"/>
  <c r="B277" i="5"/>
  <c r="B603" i="5"/>
  <c r="B2198" i="5"/>
  <c r="B2031" i="5"/>
  <c r="B4425" i="5"/>
  <c r="B2619" i="5"/>
  <c r="B6175" i="5"/>
  <c r="B6501" i="5"/>
  <c r="B1772" i="5"/>
  <c r="B2705" i="5"/>
  <c r="B4883" i="5"/>
  <c r="B4961" i="5"/>
  <c r="B377" i="5"/>
  <c r="B3307" i="5"/>
  <c r="B4998" i="5"/>
  <c r="B4763" i="5"/>
  <c r="B2792" i="5"/>
  <c r="B4392" i="5"/>
  <c r="B1631" i="5"/>
  <c r="B685" i="5"/>
  <c r="B466" i="5"/>
  <c r="B734" i="5"/>
  <c r="B152" i="5"/>
  <c r="B205" i="5"/>
  <c r="B4333" i="5"/>
  <c r="B51" i="5"/>
  <c r="B5451" i="5"/>
  <c r="B4738" i="5"/>
  <c r="B3869" i="5"/>
  <c r="B5634" i="5"/>
  <c r="B5994" i="5"/>
  <c r="B3628" i="5"/>
  <c r="B5880" i="5"/>
  <c r="B6584" i="5"/>
  <c r="B4164" i="5"/>
  <c r="B2635" i="5"/>
  <c r="B845" i="5"/>
  <c r="B5504" i="5"/>
  <c r="B5530" i="5"/>
  <c r="B2284" i="5"/>
  <c r="B2351" i="5"/>
  <c r="B2982" i="5"/>
  <c r="B3940" i="5"/>
  <c r="B4515" i="5"/>
  <c r="B4376" i="5"/>
  <c r="B3553" i="5"/>
  <c r="B3493" i="5"/>
  <c r="B6498" i="5"/>
  <c r="B5767" i="5"/>
  <c r="B1910" i="5"/>
  <c r="B4624" i="5"/>
  <c r="B2174" i="5"/>
  <c r="B4523" i="5"/>
  <c r="B5425" i="5"/>
  <c r="B2261" i="5"/>
  <c r="B4615" i="5"/>
  <c r="B2930" i="5"/>
  <c r="B3003" i="5"/>
  <c r="B3392" i="5"/>
  <c r="B2664" i="5"/>
  <c r="B1099" i="5"/>
  <c r="B6054" i="5"/>
  <c r="B4278" i="5"/>
  <c r="B6207" i="5"/>
  <c r="B4925" i="5"/>
  <c r="B5067" i="5"/>
  <c r="B3191" i="5"/>
  <c r="B4020" i="5"/>
  <c r="B770" i="5"/>
  <c r="B3534" i="5"/>
  <c r="B6146" i="5"/>
  <c r="B5370" i="5"/>
  <c r="B831" i="5"/>
  <c r="B2652" i="5"/>
  <c r="B2721" i="5"/>
  <c r="B2027" i="5"/>
  <c r="B2965" i="5"/>
  <c r="B4195" i="5"/>
  <c r="B2758" i="5"/>
  <c r="B3319" i="5"/>
  <c r="B2691" i="5"/>
  <c r="B5735" i="5"/>
  <c r="B4248" i="5"/>
  <c r="B4313" i="5"/>
  <c r="B5378" i="5"/>
  <c r="B5420" i="5"/>
  <c r="B5593" i="5"/>
  <c r="B3092" i="5"/>
  <c r="B2864" i="5"/>
  <c r="B4194" i="5"/>
  <c r="B5688" i="5"/>
  <c r="B5644" i="5"/>
  <c r="B2145" i="5"/>
  <c r="B375" i="5"/>
  <c r="B3818" i="5"/>
  <c r="B4859" i="5"/>
  <c r="B4297" i="5"/>
  <c r="B5697" i="5"/>
  <c r="B4869" i="5"/>
  <c r="B4249" i="5"/>
  <c r="B5821" i="5"/>
  <c r="B6502" i="5"/>
  <c r="B5208" i="5"/>
  <c r="B4452" i="5"/>
  <c r="B4545" i="5"/>
  <c r="B5732" i="5"/>
  <c r="B1100" i="5"/>
  <c r="B4483" i="5"/>
  <c r="B5557" i="5"/>
  <c r="B6566" i="5"/>
  <c r="B2681" i="5"/>
  <c r="B2963" i="5"/>
  <c r="B256" i="5"/>
  <c r="B1488" i="5"/>
  <c r="B538" i="5"/>
  <c r="B6045" i="5"/>
  <c r="B4874" i="5"/>
  <c r="B5624" i="5"/>
  <c r="B3783" i="5"/>
  <c r="B5275" i="5"/>
  <c r="B6305" i="5"/>
  <c r="B4263" i="5"/>
  <c r="B5896" i="5"/>
  <c r="B3915" i="5"/>
  <c r="B687" i="5"/>
  <c r="B3660" i="5"/>
  <c r="B1877" i="5"/>
  <c r="B3750" i="5"/>
  <c r="B6071" i="5"/>
  <c r="B4383" i="5"/>
  <c r="B5753" i="5"/>
  <c r="B4620" i="5"/>
  <c r="B3441" i="5"/>
  <c r="B1076" i="5"/>
  <c r="B2437" i="5"/>
  <c r="B3422" i="5"/>
  <c r="B5623" i="5"/>
  <c r="B4918" i="5"/>
  <c r="B3149" i="5"/>
  <c r="B6406" i="5"/>
  <c r="B2559" i="5"/>
  <c r="B5938" i="5"/>
  <c r="B884" i="5"/>
  <c r="B2125" i="5"/>
  <c r="B5856" i="5"/>
  <c r="B4510" i="5"/>
  <c r="B5597" i="5"/>
  <c r="B4786" i="5"/>
  <c r="B4857" i="5"/>
  <c r="B2747" i="5"/>
  <c r="B381" i="5"/>
  <c r="B405" i="5"/>
  <c r="B840" i="5"/>
  <c r="B5936" i="5"/>
  <c r="B6326" i="5"/>
  <c r="B4172" i="5"/>
  <c r="B5901" i="5"/>
  <c r="B2528" i="5"/>
  <c r="B4054" i="5"/>
  <c r="B1130" i="5"/>
  <c r="B2384" i="5"/>
  <c r="B634" i="5"/>
  <c r="B1407" i="5"/>
  <c r="B5487" i="5"/>
  <c r="B6178" i="5"/>
  <c r="B4637" i="5"/>
  <c r="B4879" i="5"/>
  <c r="B4094" i="5"/>
  <c r="B6191" i="5"/>
  <c r="B4705" i="5"/>
  <c r="B3957" i="5"/>
  <c r="B533" i="5"/>
  <c r="B272" i="5"/>
  <c r="B2009" i="5"/>
  <c r="B1998" i="5"/>
  <c r="B2722" i="5"/>
  <c r="B4192" i="5"/>
  <c r="B4373" i="5"/>
  <c r="B1712" i="5"/>
  <c r="B4265" i="5"/>
  <c r="B4643" i="5"/>
  <c r="B3625" i="5"/>
  <c r="B4899" i="5"/>
  <c r="B6499" i="5"/>
  <c r="B2452" i="5"/>
  <c r="B5449" i="5"/>
  <c r="B1754" i="5"/>
  <c r="B4123" i="5"/>
  <c r="B4487" i="5"/>
  <c r="B3921" i="5"/>
  <c r="B6142" i="5"/>
  <c r="B2222" i="5"/>
  <c r="B1503" i="5"/>
  <c r="B772" i="5"/>
  <c r="B1210" i="5"/>
  <c r="B2713" i="5"/>
  <c r="B3764" i="5"/>
  <c r="B2824" i="5"/>
  <c r="B3053" i="5"/>
  <c r="B819" i="5"/>
  <c r="B3946" i="5"/>
  <c r="B3360" i="5"/>
  <c r="B4437" i="5"/>
  <c r="B5300" i="5"/>
  <c r="B6241" i="5"/>
  <c r="B5870" i="5"/>
  <c r="B4628" i="5"/>
  <c r="B5864" i="5"/>
  <c r="B3323" i="5"/>
  <c r="B3972" i="5"/>
  <c r="B774" i="5"/>
  <c r="B4125" i="5"/>
  <c r="B1615" i="5"/>
  <c r="B3090" i="5"/>
  <c r="B1019" i="5"/>
  <c r="B5527" i="5"/>
  <c r="B4093" i="5"/>
  <c r="B5749" i="5"/>
  <c r="B860" i="5"/>
  <c r="B3558" i="5"/>
  <c r="B3645" i="5"/>
  <c r="B2428" i="5"/>
  <c r="B3707" i="5"/>
  <c r="B5875" i="5"/>
  <c r="B5233" i="5"/>
  <c r="B4071" i="5"/>
  <c r="B5015" i="5"/>
  <c r="B5108" i="5"/>
  <c r="B1052" i="5"/>
  <c r="B3162" i="5"/>
  <c r="B4501" i="5"/>
  <c r="B2196" i="5"/>
  <c r="B106" i="5"/>
  <c r="B786" i="5"/>
  <c r="B4070" i="5"/>
  <c r="B2539" i="5"/>
  <c r="B4568" i="5"/>
  <c r="B441" i="5"/>
  <c r="B105" i="5"/>
  <c r="B1426" i="5"/>
  <c r="B3370" i="5"/>
  <c r="B1374" i="5"/>
  <c r="B3210" i="5"/>
  <c r="B1450" i="5"/>
  <c r="B3276" i="5"/>
  <c r="B1329" i="5"/>
  <c r="B4619" i="5"/>
  <c r="B2244" i="5"/>
  <c r="B5109" i="5"/>
  <c r="B3153" i="5"/>
  <c r="B4037" i="5"/>
  <c r="B1965" i="5"/>
  <c r="B5195" i="5"/>
  <c r="B3824" i="5"/>
  <c r="B5641" i="5"/>
  <c r="B5102" i="5"/>
  <c r="B5549" i="5"/>
  <c r="B6047" i="5"/>
  <c r="B1495" i="5"/>
  <c r="B6023" i="5"/>
  <c r="B3380" i="5"/>
  <c r="B6121" i="5"/>
  <c r="B6441" i="5"/>
  <c r="B5784" i="5"/>
  <c r="B6492" i="5"/>
  <c r="B3412" i="5"/>
  <c r="B451" i="5"/>
  <c r="B2055" i="5"/>
  <c r="B1254" i="5"/>
  <c r="B3770" i="5"/>
  <c r="B1148" i="5"/>
  <c r="B3603" i="5"/>
  <c r="B3582" i="5"/>
  <c r="B1454" i="5"/>
  <c r="B1067" i="5"/>
  <c r="B2491" i="5"/>
  <c r="B2882" i="5"/>
  <c r="B1433" i="5"/>
  <c r="B2411" i="5"/>
  <c r="B1545" i="5"/>
  <c r="B641" i="5"/>
  <c r="B1024" i="5"/>
  <c r="B1045" i="5"/>
  <c r="B1122" i="5"/>
  <c r="B2123" i="5"/>
  <c r="B870" i="5"/>
  <c r="B926" i="5"/>
  <c r="B1906" i="5"/>
  <c r="B210" i="5"/>
  <c r="B1181" i="5"/>
  <c r="B2337" i="5"/>
  <c r="B240" i="5"/>
  <c r="B921" i="5"/>
  <c r="B1274" i="5"/>
  <c r="B6183" i="5"/>
  <c r="B5333" i="5"/>
  <c r="B6327" i="5"/>
  <c r="B3437" i="5"/>
  <c r="B5538" i="5"/>
  <c r="B2128" i="5"/>
  <c r="B1058" i="5"/>
  <c r="B5417" i="5"/>
  <c r="B5139" i="5"/>
  <c r="B4599" i="5"/>
  <c r="B971" i="5"/>
  <c r="B5728" i="5"/>
  <c r="B3394" i="5"/>
  <c r="B2827" i="5"/>
  <c r="B444" i="5"/>
  <c r="B4260" i="5"/>
  <c r="B5510" i="5"/>
  <c r="B5960" i="5"/>
  <c r="B5235" i="5"/>
  <c r="B4538" i="5"/>
  <c r="B1391" i="5"/>
  <c r="B1302" i="5"/>
  <c r="B2163" i="5"/>
  <c r="B595" i="5"/>
  <c r="B3883" i="5"/>
  <c r="B4699" i="5"/>
  <c r="B3144" i="5"/>
  <c r="B4198" i="5"/>
  <c r="B4303" i="5"/>
  <c r="B1200" i="5"/>
  <c r="B5794" i="5"/>
  <c r="B787" i="5"/>
  <c r="B125" i="5"/>
  <c r="B492" i="5"/>
  <c r="B6367" i="5"/>
  <c r="B2248" i="5"/>
  <c r="B2117" i="5"/>
  <c r="B2508" i="5"/>
  <c r="B627" i="5"/>
  <c r="B6456" i="5"/>
  <c r="B5323" i="5"/>
  <c r="B301" i="5"/>
  <c r="B1182" i="5"/>
  <c r="B4499" i="5"/>
  <c r="B4215" i="5"/>
  <c r="B2214" i="5"/>
  <c r="B728" i="5"/>
  <c r="B483" i="5"/>
  <c r="B496" i="5"/>
  <c r="B5844" i="5"/>
  <c r="B6259" i="5"/>
  <c r="B5161" i="5"/>
  <c r="B6474" i="5"/>
  <c r="B2037" i="5"/>
  <c r="B4394" i="5"/>
  <c r="B4758" i="5"/>
  <c r="B6397" i="5"/>
  <c r="B4530" i="5"/>
  <c r="B3494" i="5"/>
  <c r="B648" i="5"/>
  <c r="B4073" i="5"/>
  <c r="B3228" i="5"/>
  <c r="B6506" i="5"/>
  <c r="B5798" i="5"/>
  <c r="B4359" i="5"/>
  <c r="B3951" i="5"/>
  <c r="B2020" i="5"/>
  <c r="B5280" i="5"/>
  <c r="B4781" i="5"/>
  <c r="B4691" i="5"/>
  <c r="B5436" i="5"/>
  <c r="B6055" i="5"/>
  <c r="B5041" i="5"/>
  <c r="B2743" i="5"/>
  <c r="B5286" i="5"/>
  <c r="B1242" i="5"/>
  <c r="B3882" i="5"/>
  <c r="B4517" i="5"/>
  <c r="B3998" i="5"/>
  <c r="B4861" i="5"/>
  <c r="B5096" i="5"/>
  <c r="B3761" i="5"/>
  <c r="B795" i="5"/>
  <c r="B5305" i="5"/>
  <c r="B5272" i="5"/>
  <c r="B867" i="5"/>
  <c r="B4788" i="5"/>
  <c r="B4920" i="5"/>
  <c r="B165" i="5"/>
  <c r="B343" i="5"/>
  <c r="B380" i="5"/>
  <c r="B725" i="5"/>
  <c r="B2290" i="5"/>
  <c r="B566" i="5"/>
  <c r="B997" i="5"/>
  <c r="B2067" i="5"/>
  <c r="B693" i="5"/>
  <c r="B4507" i="5"/>
  <c r="B5931" i="5"/>
  <c r="B6256" i="5"/>
  <c r="B6156" i="5"/>
  <c r="B1687" i="5"/>
  <c r="B4399" i="5"/>
  <c r="B1317" i="5"/>
  <c r="B4871" i="5"/>
  <c r="B5352" i="5"/>
  <c r="B947" i="5"/>
  <c r="B3194" i="5"/>
  <c r="B1142" i="5"/>
  <c r="B80" i="5"/>
  <c r="B4421" i="5"/>
  <c r="B3023" i="5"/>
  <c r="B4026" i="5"/>
  <c r="B4954" i="5"/>
  <c r="B6039" i="5"/>
  <c r="B4505" i="5"/>
  <c r="B2339" i="5"/>
  <c r="B283" i="5"/>
  <c r="B816" i="5"/>
  <c r="B118" i="5"/>
  <c r="B1389" i="5"/>
  <c r="B5607" i="5"/>
  <c r="B4841" i="5"/>
  <c r="B3165" i="5"/>
  <c r="B3850" i="5"/>
  <c r="B403" i="5"/>
  <c r="B2543" i="5"/>
  <c r="B585" i="5"/>
  <c r="B3681" i="5"/>
  <c r="B5615" i="5"/>
  <c r="B5198" i="5"/>
  <c r="B4563" i="5"/>
  <c r="B857" i="5"/>
  <c r="B731" i="5"/>
  <c r="B3689" i="5"/>
  <c r="B1886" i="5"/>
  <c r="B1507" i="5"/>
  <c r="B3730" i="5"/>
  <c r="B4694" i="5"/>
  <c r="B3434" i="5"/>
  <c r="B2077" i="5"/>
  <c r="B2586" i="5"/>
  <c r="B3112" i="5"/>
  <c r="B1814" i="5"/>
  <c r="B4032" i="5"/>
  <c r="B532" i="5"/>
  <c r="B4650" i="5"/>
  <c r="B3937" i="5"/>
  <c r="B3353" i="5"/>
  <c r="B3623" i="5"/>
  <c r="B5026" i="5"/>
  <c r="B2249" i="5"/>
  <c r="B2072" i="5"/>
  <c r="B2628" i="5"/>
  <c r="B1883" i="5"/>
  <c r="B5658" i="5"/>
  <c r="B4895" i="5"/>
  <c r="B1115" i="5"/>
  <c r="B4520" i="5"/>
  <c r="B5565" i="5"/>
  <c r="B4206" i="5"/>
  <c r="B2219" i="5"/>
  <c r="B859" i="5"/>
  <c r="B4549" i="5"/>
  <c r="B1912" i="5"/>
  <c r="B6287" i="5"/>
  <c r="B3350" i="5"/>
  <c r="B5374" i="5"/>
  <c r="B1659" i="5"/>
  <c r="B6187" i="5"/>
  <c r="B6432" i="5"/>
  <c r="B3610" i="5"/>
  <c r="B4999" i="5"/>
  <c r="B6339" i="5"/>
  <c r="B1680" i="5"/>
  <c r="B5935" i="5"/>
  <c r="B4074" i="5"/>
  <c r="B4126" i="5"/>
  <c r="B5224" i="5"/>
  <c r="B5759" i="5"/>
  <c r="B920" i="5"/>
  <c r="B5718" i="5"/>
  <c r="B4898" i="5"/>
  <c r="B1626" i="5"/>
  <c r="B1018" i="5"/>
  <c r="B4455" i="5"/>
  <c r="B4730" i="5"/>
  <c r="B945" i="5"/>
  <c r="B4777" i="5"/>
  <c r="B3227" i="5"/>
  <c r="B735" i="5"/>
  <c r="B4316" i="5"/>
  <c r="B4494" i="5"/>
  <c r="B1884" i="5"/>
  <c r="B5081" i="5"/>
  <c r="B4197" i="5"/>
  <c r="B4353" i="5"/>
  <c r="B4218" i="5"/>
  <c r="B2614" i="5"/>
  <c r="B4326" i="5"/>
  <c r="B2935" i="5"/>
  <c r="B2714" i="5"/>
  <c r="B3725" i="5"/>
  <c r="B2303" i="5"/>
  <c r="B4831" i="5"/>
  <c r="B4559" i="5"/>
  <c r="B6150" i="5"/>
  <c r="B4519" i="5"/>
  <c r="B4542" i="5"/>
  <c r="B1123" i="5"/>
  <c r="B4719" i="5"/>
  <c r="B3054" i="5"/>
  <c r="B2893" i="5"/>
  <c r="B2800" i="5"/>
  <c r="B1388" i="5"/>
  <c r="B3225" i="5"/>
  <c r="B2665" i="5"/>
  <c r="B5111" i="5"/>
  <c r="B4693" i="5"/>
  <c r="B4412" i="5"/>
  <c r="B4953" i="5"/>
  <c r="B4352" i="5"/>
  <c r="B4976" i="5"/>
  <c r="B1903" i="5"/>
  <c r="B2131" i="5"/>
  <c r="B3994" i="5"/>
  <c r="B4397" i="5"/>
  <c r="B4633" i="5"/>
  <c r="B4335" i="5"/>
  <c r="B5546" i="5"/>
  <c r="B2102" i="5"/>
  <c r="B862" i="5"/>
  <c r="B1521" i="5"/>
  <c r="B6253" i="5"/>
  <c r="B6550" i="5"/>
  <c r="B3477" i="5"/>
  <c r="B2795" i="5"/>
  <c r="B2470" i="5"/>
  <c r="B4962" i="5"/>
  <c r="B3622" i="5"/>
  <c r="B3518" i="5"/>
  <c r="B2129" i="5"/>
  <c r="B3990" i="5"/>
  <c r="B6270" i="5"/>
  <c r="B2487" i="5"/>
  <c r="B3588" i="5"/>
  <c r="B1908" i="5"/>
  <c r="B4980" i="5"/>
  <c r="B5635" i="5"/>
  <c r="B4692" i="5"/>
  <c r="B6140" i="5"/>
  <c r="B2350" i="5"/>
  <c r="B966" i="5"/>
  <c r="B4698" i="5"/>
  <c r="B1183" i="5"/>
  <c r="B624" i="5"/>
  <c r="B4967" i="5"/>
  <c r="B6244" i="5"/>
  <c r="B6568" i="5"/>
  <c r="B6445" i="5"/>
  <c r="B6534" i="5"/>
  <c r="B6587" i="5"/>
  <c r="B6482" i="5"/>
  <c r="B6531" i="5"/>
  <c r="B2976" i="5"/>
  <c r="B6373" i="5"/>
  <c r="B2167" i="5"/>
  <c r="B3378" i="5"/>
  <c r="B1378" i="5"/>
  <c r="B2480" i="5"/>
  <c r="B942" i="5"/>
  <c r="B3356" i="5"/>
  <c r="B2994" i="5"/>
  <c r="B6490" i="5"/>
  <c r="B6014" i="5"/>
  <c r="B6184" i="5"/>
  <c r="B4784" i="5"/>
  <c r="B5265" i="5"/>
  <c r="B3871" i="5"/>
  <c r="B2938" i="5"/>
  <c r="B4955" i="5"/>
  <c r="B6579" i="5"/>
  <c r="B4964" i="5"/>
  <c r="B5037" i="5"/>
  <c r="B5531" i="5"/>
  <c r="B4066" i="5"/>
  <c r="B6577" i="5"/>
  <c r="B6597" i="5"/>
  <c r="B4435" i="5"/>
  <c r="B4785" i="5"/>
  <c r="B5070" i="5"/>
  <c r="B6567" i="5"/>
  <c r="B6519" i="5"/>
  <c r="B4406" i="5"/>
  <c r="B4116" i="5"/>
  <c r="B4569" i="5"/>
  <c r="B4593" i="5"/>
  <c r="B4205" i="5"/>
  <c r="B5617" i="5"/>
  <c r="B6025" i="5"/>
  <c r="B4516" i="5"/>
  <c r="B5987" i="5"/>
  <c r="B5720" i="5"/>
  <c r="B6528" i="5"/>
  <c r="B3947" i="5"/>
  <c r="B6581" i="5"/>
  <c r="B2695" i="5"/>
  <c r="B6276" i="5"/>
  <c r="B5303" i="5"/>
  <c r="B6575" i="5"/>
  <c r="B6590" i="5"/>
  <c r="B3959" i="5"/>
  <c r="B5263" i="5"/>
  <c r="B5528" i="5"/>
  <c r="B6170" i="5"/>
  <c r="B5030" i="5"/>
  <c r="B5781" i="5"/>
  <c r="B3901" i="5"/>
  <c r="B1654" i="5"/>
  <c r="B1676" i="5"/>
  <c r="B2081" i="5"/>
  <c r="B3154" i="5"/>
  <c r="B5361" i="5"/>
  <c r="B4445" i="5"/>
  <c r="B6385" i="5"/>
  <c r="B6463" i="5"/>
  <c r="B6369" i="5"/>
  <c r="B6521" i="5"/>
  <c r="B3489" i="5"/>
  <c r="B4293" i="5"/>
  <c r="B6072" i="5"/>
  <c r="B1502" i="5"/>
  <c r="B801" i="5"/>
  <c r="B6548" i="5"/>
  <c r="B3948" i="5"/>
  <c r="B3108" i="5"/>
  <c r="B2509" i="5"/>
  <c r="B5284" i="5"/>
  <c r="B6303" i="5"/>
  <c r="B6114" i="5"/>
  <c r="B6271" i="5"/>
  <c r="B3277" i="5"/>
  <c r="B6449" i="5"/>
  <c r="B6580" i="5"/>
  <c r="B6596" i="5"/>
  <c r="B6012" i="5"/>
  <c r="B4537" i="5"/>
  <c r="B933" i="5"/>
  <c r="B6537" i="5"/>
  <c r="B6621" i="5"/>
  <c r="B4718" i="5"/>
  <c r="B5127" i="5"/>
  <c r="B1505" i="5"/>
  <c r="B602" i="5"/>
  <c r="B1331" i="5"/>
  <c r="B5802" i="5"/>
  <c r="B5371" i="5"/>
  <c r="B6503" i="5"/>
  <c r="B6464" i="5"/>
  <c r="B6526" i="5"/>
  <c r="B6583" i="5"/>
  <c r="B4609" i="5"/>
  <c r="B2920" i="5"/>
  <c r="B1361" i="5"/>
  <c r="B5976" i="5"/>
  <c r="B6203" i="5"/>
  <c r="B300" i="5"/>
  <c r="B5799" i="5"/>
  <c r="B6361" i="5"/>
  <c r="B6402" i="5"/>
  <c r="B5367" i="5"/>
  <c r="B5622" i="5"/>
  <c r="B3845" i="5"/>
  <c r="B6092" i="5"/>
  <c r="B5325" i="5"/>
  <c r="B4117" i="5"/>
  <c r="B4776" i="5"/>
  <c r="B6372" i="5"/>
  <c r="B4272" i="5"/>
  <c r="B4977" i="5"/>
  <c r="B6572" i="5"/>
  <c r="B6173" i="5"/>
  <c r="B4780" i="5"/>
  <c r="B6324" i="5"/>
  <c r="B2525" i="5"/>
  <c r="B5301" i="5"/>
  <c r="B5733" i="5"/>
  <c r="B3067" i="5"/>
  <c r="B5804" i="5"/>
  <c r="B3856" i="5"/>
  <c r="B2865" i="5"/>
  <c r="B2327" i="5"/>
  <c r="B2208" i="5"/>
  <c r="B4242" i="5"/>
  <c r="B6215" i="5"/>
  <c r="B6376" i="5"/>
  <c r="B3339" i="5"/>
  <c r="B185" i="5"/>
  <c r="B3787" i="5"/>
  <c r="B1446" i="5"/>
  <c r="B1312" i="5"/>
  <c r="B1015" i="5"/>
  <c r="B5601" i="5"/>
  <c r="B2927" i="5"/>
  <c r="B4535" i="5"/>
  <c r="B3583" i="5"/>
  <c r="B6107" i="5"/>
  <c r="B4567" i="5"/>
  <c r="B5559" i="5"/>
  <c r="B3118" i="5"/>
  <c r="B3671" i="5"/>
  <c r="B4356" i="5"/>
  <c r="B2703" i="5"/>
  <c r="B154" i="5"/>
  <c r="B107" i="5"/>
  <c r="B961" i="5"/>
  <c r="B1588" i="5"/>
  <c r="B5034" i="5"/>
  <c r="B4503" i="5"/>
  <c r="B4087" i="5"/>
  <c r="B902" i="5"/>
  <c r="B5937" i="5"/>
  <c r="B6120" i="5"/>
  <c r="B5805" i="5"/>
  <c r="B4211" i="5"/>
  <c r="B6605" i="5"/>
  <c r="B3579" i="5"/>
  <c r="B5107" i="5"/>
  <c r="B1642" i="5"/>
  <c r="B6033" i="5"/>
  <c r="B6603" i="5"/>
  <c r="B5967" i="5"/>
  <c r="B6240" i="5"/>
  <c r="B6082" i="5"/>
  <c r="B5853" i="5"/>
  <c r="B5979" i="5"/>
  <c r="B6307" i="5"/>
  <c r="B4614" i="5"/>
  <c r="B2806" i="5"/>
  <c r="B5480" i="5"/>
  <c r="B2254" i="5"/>
  <c r="B2625" i="5"/>
  <c r="B5621" i="5"/>
  <c r="B4149" i="5"/>
  <c r="B2152" i="5"/>
  <c r="B2355" i="5"/>
  <c r="B3565" i="5"/>
  <c r="B6100" i="5"/>
  <c r="B4975" i="5"/>
  <c r="B6144" i="5"/>
  <c r="B4748" i="5"/>
  <c r="B5304" i="5"/>
  <c r="B3064" i="5"/>
  <c r="B5426" i="5"/>
  <c r="B5029" i="5"/>
  <c r="B4770" i="5"/>
  <c r="B3410" i="5"/>
  <c r="B5602" i="5"/>
  <c r="B6545" i="5"/>
  <c r="B6617" i="5"/>
  <c r="B6365" i="5"/>
  <c r="B6455" i="5"/>
  <c r="B4631" i="5"/>
  <c r="B5229" i="5"/>
  <c r="B6543" i="5"/>
  <c r="B6122" i="5"/>
  <c r="B3570" i="5"/>
  <c r="B1803" i="5"/>
  <c r="B5525" i="5"/>
  <c r="B5797" i="5"/>
  <c r="B5332" i="5"/>
  <c r="B5766" i="5"/>
  <c r="B5551" i="5"/>
  <c r="B4369" i="5"/>
  <c r="B5190" i="5"/>
  <c r="B4671" i="5"/>
  <c r="B1947" i="5"/>
  <c r="B6560" i="5"/>
  <c r="B6620" i="5"/>
  <c r="B6571" i="5"/>
  <c r="B6595" i="5"/>
  <c r="B4880" i="5"/>
  <c r="B3562" i="5"/>
  <c r="B2796" i="5"/>
  <c r="B1646" i="5"/>
  <c r="B5956" i="5"/>
  <c r="B5736" i="5"/>
  <c r="B5833" i="5"/>
  <c r="B5095" i="5"/>
  <c r="B4994" i="5"/>
  <c r="B4108" i="5"/>
  <c r="B3415" i="5"/>
  <c r="B422" i="5"/>
  <c r="B1569" i="5"/>
  <c r="B6483" i="5"/>
  <c r="B2537" i="5"/>
  <c r="B323" i="5"/>
  <c r="B1198" i="5"/>
  <c r="B4754" i="5"/>
  <c r="B4736" i="5"/>
  <c r="B5946" i="5"/>
  <c r="B5673" i="5"/>
  <c r="B6084" i="5"/>
  <c r="B1326" i="5"/>
  <c r="B872" i="5"/>
  <c r="B3716" i="5"/>
  <c r="B2902" i="5"/>
  <c r="B2359" i="5"/>
  <c r="B1564" i="5"/>
  <c r="B946" i="5"/>
  <c r="B3731" i="5"/>
  <c r="B4601" i="5"/>
  <c r="B6588" i="5"/>
  <c r="B1396" i="5"/>
  <c r="B3827" i="5"/>
  <c r="B3587" i="5"/>
  <c r="B5250" i="5"/>
  <c r="B6070" i="5"/>
  <c r="B6504" i="5"/>
  <c r="B3779" i="5"/>
  <c r="B3055" i="5"/>
  <c r="B3159" i="5"/>
  <c r="B5513" i="5"/>
  <c r="B5776" i="5"/>
  <c r="B4632" i="5"/>
  <c r="B3243" i="5"/>
  <c r="B697" i="5"/>
  <c r="B5122" i="5"/>
  <c r="B6472" i="5"/>
  <c r="B6437" i="5"/>
  <c r="B6622" i="5"/>
  <c r="B4602" i="5"/>
  <c r="B6202" i="5"/>
  <c r="B3420" i="5"/>
  <c r="B481" i="5"/>
  <c r="B6290" i="5"/>
  <c r="B6400" i="5"/>
  <c r="B5727" i="5"/>
  <c r="B6230" i="5"/>
  <c r="B893" i="5"/>
  <c r="B5629" i="5"/>
  <c r="B5701" i="5"/>
  <c r="B4714" i="5"/>
  <c r="B5790" i="5"/>
  <c r="B1420" i="5"/>
  <c r="B497" i="5"/>
  <c r="B421" i="5"/>
  <c r="B666" i="5"/>
  <c r="B3060" i="5"/>
  <c r="B635" i="5"/>
  <c r="B351" i="5"/>
  <c r="B706" i="5"/>
  <c r="B469" i="5"/>
  <c r="B580" i="5"/>
  <c r="B4302" i="5"/>
  <c r="B3396" i="5"/>
  <c r="B1308" i="5"/>
  <c r="B5166" i="5"/>
  <c r="B1939" i="5"/>
  <c r="B4245" i="5"/>
  <c r="B5432" i="5"/>
  <c r="B5293" i="5"/>
  <c r="B3581" i="5"/>
  <c r="B4256" i="5"/>
  <c r="B1336" i="5"/>
  <c r="B1431" i="5"/>
  <c r="B4821" i="5"/>
  <c r="B3333" i="5"/>
  <c r="B2464" i="5"/>
  <c r="B6149" i="5"/>
  <c r="B3691" i="5"/>
  <c r="B3741" i="5"/>
  <c r="B4709" i="5"/>
  <c r="B1144" i="5"/>
  <c r="B4044" i="5"/>
  <c r="B1448" i="5"/>
  <c r="B762" i="5"/>
  <c r="B357" i="5"/>
  <c r="B744" i="5"/>
  <c r="B32" i="5"/>
  <c r="B235" i="5"/>
  <c r="B4565" i="5"/>
  <c r="B6511" i="5"/>
  <c r="B5160" i="5"/>
  <c r="B3248" i="5"/>
  <c r="B4191" i="5"/>
  <c r="B5652" i="5"/>
  <c r="B5964" i="5"/>
  <c r="B5385" i="5"/>
  <c r="B4560" i="5"/>
  <c r="B834" i="5"/>
  <c r="B4989" i="5"/>
  <c r="B459" i="5"/>
  <c r="B4382" i="5"/>
  <c r="B1732" i="5"/>
  <c r="B1603" i="5"/>
  <c r="B1554" i="5"/>
  <c r="B886" i="5"/>
  <c r="B286" i="5"/>
  <c r="B5916" i="5"/>
  <c r="B6386" i="5"/>
  <c r="B397" i="5"/>
  <c r="B186" i="5"/>
  <c r="B408" i="5"/>
  <c r="B311" i="5"/>
  <c r="B4423" i="5"/>
  <c r="B5715" i="5"/>
  <c r="B4076" i="5"/>
  <c r="B5437" i="5"/>
  <c r="B4479" i="5"/>
  <c r="B5091" i="5"/>
  <c r="B1289" i="5"/>
  <c r="B3300" i="5"/>
  <c r="B4486" i="5"/>
  <c r="B4199" i="5"/>
  <c r="B5939" i="5"/>
  <c r="B4787" i="5"/>
  <c r="B4380" i="5"/>
  <c r="B6468" i="5"/>
  <c r="B6418" i="5"/>
  <c r="B3545" i="5"/>
  <c r="B6444" i="5"/>
  <c r="B6232" i="5"/>
  <c r="B1366" i="5"/>
  <c r="B1550" i="5"/>
  <c r="B5464" i="5"/>
  <c r="B4586" i="5"/>
  <c r="B5270" i="5"/>
  <c r="B5584" i="5"/>
  <c r="B6576" i="5"/>
  <c r="B5379" i="5"/>
  <c r="B4903" i="5"/>
  <c r="B5179" i="5"/>
  <c r="B4168" i="5"/>
  <c r="B5423" i="5"/>
  <c r="B4756" i="5"/>
  <c r="B1978" i="5"/>
  <c r="B2494" i="5"/>
  <c r="B3851" i="5"/>
  <c r="B4840" i="5"/>
  <c r="B844" i="5"/>
  <c r="B991" i="5"/>
  <c r="B1261" i="5"/>
  <c r="B1605" i="5"/>
  <c r="B5695" i="5"/>
  <c r="B6485" i="5"/>
  <c r="B3176" i="5"/>
  <c r="B5184" i="5"/>
  <c r="B4778" i="5"/>
  <c r="B5522" i="5"/>
  <c r="B573" i="5"/>
  <c r="B4148" i="5"/>
  <c r="B293" i="5"/>
  <c r="B199" i="5"/>
  <c r="B940" i="5"/>
  <c r="B632" i="5"/>
  <c r="B2492" i="5"/>
  <c r="B5028" i="5"/>
  <c r="B2962" i="5"/>
  <c r="B3283" i="5"/>
  <c r="B2493" i="5"/>
  <c r="B3839" i="5"/>
  <c r="B1229" i="5"/>
  <c r="B1090" i="5"/>
  <c r="B3314" i="5"/>
  <c r="B1897" i="5"/>
  <c r="B3510" i="5"/>
  <c r="B2060" i="5"/>
  <c r="B1456" i="5"/>
  <c r="B4919" i="5"/>
  <c r="B4024" i="5"/>
  <c r="B5689" i="5"/>
  <c r="B2552" i="5"/>
  <c r="B4171" i="5"/>
  <c r="B4950" i="5"/>
  <c r="B5808" i="5"/>
  <c r="B5085" i="5"/>
  <c r="B6152" i="5"/>
  <c r="B5435" i="5"/>
  <c r="B4396" i="5"/>
  <c r="B3676" i="5"/>
  <c r="B5917" i="5"/>
  <c r="B2700" i="5"/>
  <c r="B5046" i="5"/>
  <c r="B5110" i="5"/>
  <c r="B746" i="5"/>
  <c r="B1843" i="5"/>
  <c r="B1056" i="5"/>
  <c r="B3286" i="5"/>
  <c r="B4526" i="5"/>
  <c r="B2558" i="5"/>
  <c r="B2943" i="5"/>
  <c r="B5906" i="5"/>
  <c r="B5509" i="5"/>
  <c r="B1514" i="5"/>
  <c r="B6044" i="5"/>
  <c r="B3213" i="5"/>
  <c r="B6323" i="5"/>
  <c r="B6007" i="5"/>
  <c r="B544" i="5"/>
  <c r="B6180" i="5"/>
  <c r="B6233" i="5"/>
  <c r="B5064" i="5"/>
  <c r="B2029" i="5"/>
  <c r="B1690" i="5"/>
  <c r="B3575" i="5"/>
  <c r="B4470" i="5"/>
  <c r="B2569" i="5"/>
  <c r="B542" i="5"/>
  <c r="B2139" i="5"/>
  <c r="B6411" i="5"/>
  <c r="B6433" i="5"/>
  <c r="B4589" i="5"/>
  <c r="B4965" i="5"/>
  <c r="B5796" i="5"/>
  <c r="B5105" i="5"/>
  <c r="B1638" i="5"/>
  <c r="B1399" i="5"/>
  <c r="B4418" i="5"/>
  <c r="B6585" i="5"/>
  <c r="B4342" i="5"/>
  <c r="B2406" i="5"/>
  <c r="B4219" i="5"/>
  <c r="B3062" i="5"/>
  <c r="B2482" i="5"/>
  <c r="B1970" i="5"/>
  <c r="B3247" i="5"/>
  <c r="B4644" i="5"/>
  <c r="B5101" i="5"/>
  <c r="B4556" i="5"/>
  <c r="B3878" i="5"/>
  <c r="B2510" i="5"/>
  <c r="B2099" i="5"/>
  <c r="B2247" i="5"/>
  <c r="B980" i="5"/>
  <c r="B1576" i="5"/>
  <c r="B1922" i="5"/>
  <c r="B4391" i="5"/>
  <c r="B3134" i="5"/>
  <c r="B6193" i="5"/>
  <c r="B6570" i="5"/>
  <c r="B5060" i="5"/>
  <c r="B5595" i="5"/>
  <c r="B4214" i="5"/>
  <c r="B1280" i="5"/>
  <c r="B1430" i="5"/>
  <c r="B586" i="5"/>
  <c r="B1825" i="5"/>
  <c r="B4429" i="5"/>
  <c r="B5066" i="5"/>
  <c r="B1046" i="5"/>
  <c r="B228" i="5"/>
  <c r="B4337" i="5"/>
  <c r="B4181" i="5"/>
  <c r="B3017" i="5"/>
  <c r="B4689" i="5"/>
  <c r="B6374" i="5"/>
  <c r="B6278" i="5"/>
  <c r="B3782" i="5"/>
  <c r="B4877" i="5"/>
  <c r="B2111" i="5"/>
  <c r="B1587" i="5"/>
  <c r="B1956" i="5"/>
  <c r="B3391" i="5"/>
  <c r="B2044" i="5"/>
  <c r="B4166" i="5"/>
  <c r="B3048" i="5"/>
  <c r="B4673" i="5"/>
  <c r="B2181" i="5"/>
  <c r="B858" i="5"/>
  <c r="B572" i="5"/>
  <c r="B1151" i="5"/>
  <c r="B3384" i="5"/>
  <c r="B2263" i="5"/>
  <c r="B3669" i="5"/>
  <c r="B1485" i="5"/>
  <c r="B1352" i="5"/>
  <c r="B1831" i="5"/>
  <c r="B1468" i="5"/>
  <c r="B1440" i="5"/>
  <c r="B2034" i="5"/>
  <c r="B3702" i="5"/>
  <c r="B2079" i="5"/>
  <c r="B1751" i="5"/>
  <c r="B4590" i="5"/>
  <c r="B3308" i="5"/>
  <c r="B2879" i="5"/>
  <c r="B1193" i="5"/>
  <c r="B1112" i="5"/>
  <c r="B836" i="5"/>
  <c r="B4203" i="5"/>
  <c r="B2278" i="5"/>
  <c r="B5750" i="5"/>
  <c r="B3963" i="5"/>
  <c r="B4864" i="5"/>
  <c r="B3733" i="5"/>
  <c r="B3224" i="5"/>
  <c r="B3868" i="5"/>
  <c r="B4023" i="5"/>
  <c r="B2242" i="5"/>
  <c r="B6131" i="5"/>
  <c r="B2274" i="5"/>
  <c r="B817" i="5"/>
  <c r="B671" i="5"/>
  <c r="B5094" i="5"/>
  <c r="B742" i="5"/>
  <c r="B605" i="5"/>
  <c r="B1129" i="5"/>
  <c r="B430" i="5"/>
  <c r="B847" i="5"/>
  <c r="B236" i="5"/>
  <c r="B640" i="5"/>
  <c r="B2651" i="5"/>
  <c r="B1597" i="5"/>
  <c r="B2382" i="5"/>
  <c r="B2170" i="5"/>
  <c r="B1718" i="5"/>
  <c r="B2050" i="5"/>
  <c r="B4721" i="5"/>
  <c r="B800" i="5"/>
  <c r="B996" i="5"/>
  <c r="B2461" i="5"/>
  <c r="B1394" i="5"/>
  <c r="B5811" i="5"/>
  <c r="B1371" i="5"/>
  <c r="B5469" i="5"/>
  <c r="B6370" i="5"/>
  <c r="B1228" i="5"/>
  <c r="B3760" i="5"/>
  <c r="B1882" i="5"/>
  <c r="B4046" i="5"/>
  <c r="B2120" i="5"/>
  <c r="B5663" i="5"/>
  <c r="B1264" i="5"/>
  <c r="B2971" i="5"/>
  <c r="B2768" i="5"/>
  <c r="B249" i="5"/>
  <c r="B1218" i="5"/>
  <c r="B850" i="5"/>
  <c r="B1657" i="5"/>
  <c r="B2708" i="5"/>
  <c r="B853" i="5"/>
  <c r="B187" i="5"/>
  <c r="B76" i="5"/>
  <c r="B82" i="5"/>
  <c r="B261" i="5"/>
  <c r="B3341" i="5"/>
  <c r="B1944" i="5"/>
  <c r="B2078" i="5"/>
  <c r="B1037" i="5"/>
  <c r="B1318" i="5"/>
  <c r="B298" i="5"/>
  <c r="B280" i="5"/>
  <c r="B1219" i="5"/>
  <c r="B512" i="5"/>
  <c r="B720" i="5"/>
  <c r="B5614" i="5"/>
  <c r="B370" i="5"/>
  <c r="B73" i="5"/>
  <c r="B326" i="5"/>
  <c r="B1029" i="5"/>
  <c r="B4759" i="5"/>
  <c r="B4469" i="5"/>
  <c r="B4344" i="5"/>
  <c r="B5575" i="5"/>
  <c r="B983" i="5"/>
  <c r="B64" i="5"/>
  <c r="B1330" i="5"/>
  <c r="B3797" i="5"/>
  <c r="B3343" i="5"/>
  <c r="B2321" i="5"/>
  <c r="B2544" i="5"/>
  <c r="B3355" i="5"/>
  <c r="B6006" i="5"/>
  <c r="B5826" i="5"/>
  <c r="B6188" i="5"/>
  <c r="B6059" i="5"/>
  <c r="B5001" i="5"/>
  <c r="B4250" i="5"/>
  <c r="B5894" i="5"/>
  <c r="B4743" i="5"/>
  <c r="B3584" i="5"/>
  <c r="B3217" i="5"/>
  <c r="B4478" i="5"/>
  <c r="B2505" i="5"/>
  <c r="B2937" i="5"/>
  <c r="B5885" i="5"/>
  <c r="B1857" i="5"/>
  <c r="B3240" i="5"/>
  <c r="B753" i="5"/>
  <c r="B5261" i="5"/>
  <c r="B5521" i="5"/>
  <c r="B1473" i="5"/>
  <c r="B4708" i="5"/>
  <c r="B6452" i="5"/>
  <c r="B3563" i="5"/>
  <c r="B5619" i="5"/>
  <c r="B748" i="5"/>
  <c r="B1050" i="5"/>
  <c r="B896" i="5"/>
  <c r="B606" i="5"/>
  <c r="B1291" i="5"/>
  <c r="B868" i="5"/>
  <c r="B5004" i="5"/>
  <c r="B6212" i="5"/>
  <c r="B5533" i="5"/>
  <c r="B5760" i="5"/>
  <c r="B5552" i="5"/>
  <c r="B6197" i="5"/>
  <c r="B6277" i="5"/>
  <c r="B2324" i="5"/>
  <c r="B3973" i="5"/>
  <c r="B2597" i="5"/>
  <c r="B2357" i="5"/>
  <c r="B3342" i="5"/>
  <c r="B4566" i="5"/>
  <c r="B6470" i="5"/>
  <c r="B183" i="5"/>
  <c r="B1355" i="5"/>
  <c r="B1175" i="5"/>
  <c r="B392" i="5"/>
  <c r="B903" i="5"/>
  <c r="B467" i="5"/>
  <c r="B664" i="5"/>
  <c r="B5191" i="5"/>
  <c r="B296" i="5"/>
  <c r="B1104" i="5"/>
  <c r="B1963" i="5"/>
  <c r="B3051" i="5"/>
  <c r="B2119" i="5"/>
  <c r="B5857" i="5"/>
  <c r="B5950" i="5"/>
  <c r="B2956" i="5"/>
  <c r="B3402" i="5"/>
  <c r="B4638" i="5"/>
  <c r="B4409" i="5"/>
  <c r="B4782" i="5"/>
  <c r="B5741" i="5"/>
  <c r="B3710" i="5"/>
  <c r="B4118" i="5"/>
  <c r="B4097" i="5"/>
  <c r="B4476" i="5"/>
  <c r="B1855" i="5"/>
  <c r="B6038" i="5"/>
  <c r="B5486" i="5"/>
  <c r="B4717" i="5"/>
  <c r="B6035" i="5"/>
  <c r="B5354" i="5"/>
  <c r="B4189" i="5"/>
  <c r="B6200" i="5"/>
  <c r="B3160" i="5"/>
  <c r="B5698" i="5"/>
  <c r="B66" i="5"/>
  <c r="B6302" i="5"/>
  <c r="B4863" i="5"/>
  <c r="B863" i="5"/>
  <c r="B5087" i="5"/>
  <c r="B5214" i="5"/>
  <c r="B3751" i="5"/>
  <c r="B4733" i="5"/>
  <c r="B4881" i="5"/>
  <c r="B5391" i="5"/>
  <c r="B6165" i="5"/>
  <c r="B4150" i="5"/>
  <c r="B4797" i="5"/>
  <c r="B5148" i="5"/>
  <c r="B4204" i="5"/>
  <c r="B3982" i="5"/>
  <c r="B5189" i="5"/>
  <c r="B5092" i="5"/>
  <c r="B5984" i="5"/>
  <c r="B5867" i="5"/>
  <c r="B5977" i="5"/>
  <c r="B5219" i="5"/>
  <c r="B6237" i="5"/>
  <c r="B386" i="5"/>
  <c r="B1498" i="5"/>
  <c r="B342" i="5"/>
  <c r="B395" i="5"/>
  <c r="B4237" i="5"/>
  <c r="B2415" i="5"/>
  <c r="B2220" i="5"/>
  <c r="B3014" i="5"/>
  <c r="B1980" i="5"/>
  <c r="B3065" i="5"/>
  <c r="B2634" i="5"/>
  <c r="B4274" i="5"/>
  <c r="B622" i="5"/>
  <c r="B171" i="5"/>
  <c r="B5611" i="5"/>
  <c r="B3648" i="5"/>
  <c r="B5342" i="5"/>
  <c r="B6316" i="5"/>
  <c r="B5274" i="5"/>
  <c r="B5654" i="5"/>
  <c r="B6091" i="5"/>
  <c r="B2373" i="5"/>
  <c r="B6536" i="5"/>
  <c r="B4943" i="5"/>
  <c r="B2209" i="5"/>
  <c r="B1557" i="5"/>
  <c r="B4907" i="5"/>
  <c r="B2362" i="5"/>
  <c r="B3634" i="5"/>
  <c r="B3811" i="5"/>
  <c r="B5226" i="5"/>
  <c r="B2647" i="5"/>
  <c r="B1918" i="5"/>
  <c r="B5604" i="5"/>
  <c r="B2589" i="5"/>
  <c r="B1484" i="5"/>
  <c r="B3521" i="5"/>
  <c r="B5485" i="5"/>
  <c r="B3822" i="5"/>
  <c r="B3260" i="5"/>
  <c r="B3481" i="5"/>
  <c r="B5024" i="5"/>
  <c r="B4804" i="5"/>
  <c r="B525" i="5"/>
  <c r="B3720" i="5"/>
  <c r="B2489" i="5"/>
  <c r="B6540" i="5"/>
  <c r="B6565" i="5"/>
  <c r="B3322" i="5"/>
  <c r="B4377" i="5"/>
  <c r="B2814" i="5"/>
  <c r="B4814" i="5"/>
  <c r="B4031" i="5"/>
  <c r="B4284" i="5"/>
  <c r="B6176" i="5"/>
  <c r="B5948" i="5"/>
  <c r="B2441" i="5"/>
  <c r="B1791" i="5"/>
  <c r="B2495" i="5"/>
  <c r="B2966" i="5"/>
  <c r="B4896" i="5"/>
  <c r="B4870" i="5"/>
  <c r="B4949" i="5"/>
  <c r="B5706" i="5"/>
  <c r="B5636" i="5"/>
  <c r="B4544" i="5"/>
  <c r="B4988" i="5"/>
  <c r="B4986" i="5"/>
  <c r="B3130" i="5"/>
  <c r="B6507" i="5"/>
  <c r="B3618" i="5"/>
  <c r="B5273" i="5"/>
  <c r="B5848" i="5"/>
  <c r="B5076" i="5"/>
  <c r="B3076" i="5"/>
  <c r="B3424" i="5"/>
  <c r="B3555" i="5"/>
  <c r="B4030" i="5"/>
  <c r="B5173" i="5"/>
  <c r="B3364" i="5"/>
  <c r="B2229" i="5"/>
  <c r="B5357" i="5"/>
  <c r="B4783" i="5"/>
  <c r="B4844" i="5"/>
  <c r="B4287" i="5"/>
  <c r="B5285" i="5"/>
  <c r="B4229" i="5"/>
  <c r="B6206" i="5"/>
  <c r="B3769" i="5"/>
  <c r="B5927" i="5"/>
  <c r="B1337" i="5"/>
  <c r="B1172" i="5"/>
  <c r="B956" i="5"/>
  <c r="B5656" i="5"/>
  <c r="B3962" i="5"/>
  <c r="B4038" i="5"/>
  <c r="B4832" i="5"/>
  <c r="B2693" i="5"/>
  <c r="B705" i="5"/>
  <c r="B1400" i="5"/>
  <c r="B4775" i="5"/>
  <c r="B2641" i="5"/>
  <c r="B5968" i="5"/>
  <c r="B3433" i="5"/>
  <c r="B5986" i="5"/>
  <c r="B5295" i="5"/>
  <c r="B4033" i="5"/>
  <c r="B6348" i="5"/>
  <c r="B6558" i="5"/>
  <c r="B4241" i="5"/>
  <c r="B6116" i="5"/>
  <c r="B6508" i="5"/>
  <c r="B4527" i="5"/>
  <c r="B5560" i="5"/>
  <c r="B5710" i="5"/>
  <c r="B5022" i="5"/>
  <c r="B4979" i="5"/>
  <c r="B4320" i="5"/>
  <c r="B2011" i="5"/>
  <c r="B4805" i="5"/>
  <c r="B4923" i="5"/>
  <c r="B3932" i="5"/>
  <c r="B1474" i="5"/>
  <c r="B4811" i="5"/>
  <c r="B3231" i="5"/>
  <c r="B4996" i="5"/>
  <c r="B6214" i="5"/>
  <c r="B3657" i="5"/>
  <c r="B3068" i="5"/>
  <c r="B1294" i="5"/>
  <c r="B1034" i="5"/>
  <c r="B4000" i="5"/>
  <c r="B3865" i="5"/>
  <c r="B4583" i="5"/>
  <c r="B2735" i="5"/>
  <c r="B1769" i="5"/>
  <c r="B3796" i="5"/>
  <c r="B2420" i="5"/>
  <c r="B4662" i="5"/>
  <c r="B2503" i="5"/>
  <c r="B4042" i="5"/>
  <c r="B4275" i="5"/>
  <c r="B4838" i="5"/>
  <c r="B3849" i="5"/>
  <c r="B2432" i="5"/>
  <c r="B4579" i="5"/>
  <c r="B3902" i="5"/>
  <c r="B2798" i="5"/>
  <c r="B2093" i="5"/>
  <c r="B3084" i="5"/>
  <c r="B4246" i="5"/>
  <c r="B2533" i="5"/>
  <c r="B5882" i="5"/>
  <c r="B3074" i="5"/>
  <c r="B825" i="5"/>
  <c r="B4959" i="5"/>
  <c r="B2289" i="5"/>
  <c r="B2885" i="5"/>
  <c r="B4570" i="5"/>
  <c r="B6204" i="5"/>
  <c r="B6380" i="5"/>
  <c r="B3627" i="5"/>
  <c r="B1292" i="5"/>
  <c r="B2638" i="5"/>
  <c r="B6273" i="5"/>
  <c r="B6236" i="5"/>
  <c r="B5421" i="5"/>
  <c r="B6351" i="5"/>
  <c r="B6069" i="5"/>
  <c r="B5439" i="5"/>
  <c r="B5427" i="5"/>
  <c r="B5926" i="5"/>
  <c r="B6586" i="5"/>
  <c r="B6574" i="5"/>
  <c r="B5438" i="5"/>
  <c r="B4744" i="5"/>
  <c r="B5074" i="5"/>
  <c r="B5855" i="5"/>
  <c r="B5536" i="5"/>
  <c r="B3768" i="5"/>
  <c r="B5998" i="5"/>
  <c r="B5971" i="5"/>
  <c r="B6484" i="5"/>
  <c r="B4086" i="5"/>
  <c r="B4039" i="5"/>
  <c r="B6182" i="5"/>
  <c r="B6306" i="5"/>
  <c r="B4995" i="5"/>
  <c r="B6231" i="5"/>
  <c r="B6523" i="5"/>
  <c r="B5349" i="5"/>
  <c r="B5873" i="5"/>
  <c r="B6225" i="5"/>
  <c r="B6465" i="5"/>
  <c r="B1146" i="5"/>
  <c r="B1525" i="5"/>
  <c r="B1353" i="5"/>
  <c r="B2443" i="5"/>
  <c r="B2999" i="5"/>
  <c r="B1270" i="5"/>
  <c r="B6481" i="5"/>
  <c r="B5350" i="5"/>
  <c r="B5129" i="5"/>
  <c r="B2047" i="5"/>
  <c r="B4724" i="5"/>
  <c r="B2268" i="5"/>
  <c r="B1930" i="5"/>
  <c r="B1057" i="5"/>
  <c r="B5318" i="5"/>
  <c r="B4533" i="5"/>
  <c r="B4157" i="5"/>
  <c r="B4488" i="5"/>
  <c r="B4065" i="5"/>
  <c r="B1954" i="5"/>
  <c r="B3668" i="5"/>
  <c r="B2933" i="5"/>
  <c r="B4842" i="5"/>
  <c r="B5140" i="5"/>
  <c r="B5717" i="5"/>
  <c r="B3547" i="5"/>
  <c r="B5203" i="5"/>
  <c r="B6157" i="5"/>
  <c r="B4900" i="5"/>
  <c r="B6095" i="5"/>
  <c r="B771" i="5"/>
  <c r="B5871" i="5"/>
  <c r="B1780" i="5"/>
  <c r="B344" i="5"/>
  <c r="B3198" i="5"/>
  <c r="B2058" i="5"/>
  <c r="B77" i="5"/>
  <c r="B5121" i="5"/>
  <c r="B1033" i="5"/>
  <c r="B3860" i="5"/>
  <c r="B1344" i="5"/>
  <c r="B655" i="5"/>
  <c r="B10" i="5"/>
  <c r="B226" i="5"/>
  <c r="B1711" i="5"/>
  <c r="B1223" i="5"/>
  <c r="B3381" i="5"/>
  <c r="B1447" i="5"/>
  <c r="B3762" i="5"/>
  <c r="B1617" i="5"/>
  <c r="B1606" i="5"/>
  <c r="B3164" i="5"/>
  <c r="B3614" i="5"/>
  <c r="B2836" i="5"/>
  <c r="B1641" i="5"/>
  <c r="B1713" i="5"/>
  <c r="B2884" i="5"/>
  <c r="B2998" i="5"/>
  <c r="B1177" i="5"/>
  <c r="B3807" i="5"/>
  <c r="B2172" i="5"/>
  <c r="B138" i="5"/>
  <c r="B1415" i="5"/>
  <c r="B1868" i="5"/>
  <c r="B3499" i="5"/>
  <c r="B1232" i="5"/>
  <c r="B5042" i="5"/>
  <c r="B2304" i="5"/>
  <c r="B598" i="5"/>
  <c r="B1257" i="5"/>
  <c r="B3517" i="5"/>
  <c r="B1701" i="5"/>
  <c r="B985" i="5"/>
  <c r="B1332" i="5"/>
  <c r="B2022" i="5"/>
  <c r="B2731" i="5"/>
  <c r="B1434" i="5"/>
  <c r="B5397" i="5"/>
  <c r="B2490" i="5"/>
  <c r="B2601" i="5"/>
  <c r="B5331" i="5"/>
  <c r="B803" i="5"/>
  <c r="B23" i="5"/>
  <c r="B4402" i="5"/>
  <c r="B4311" i="5"/>
  <c r="B3081" i="5"/>
  <c r="B2115" i="5"/>
  <c r="B6040" i="5"/>
  <c r="B4062" i="5"/>
  <c r="B3864" i="5"/>
  <c r="B2777" i="5"/>
  <c r="B4174" i="5"/>
  <c r="B3138" i="5"/>
  <c r="B2727" i="5"/>
  <c r="B5660" i="5"/>
  <c r="B3895" i="5"/>
  <c r="B5279" i="5"/>
  <c r="B3649" i="5"/>
  <c r="B3157" i="5"/>
  <c r="B2574" i="5"/>
  <c r="B219" i="5"/>
  <c r="B104" i="5"/>
  <c r="B38" i="5"/>
  <c r="B279" i="5"/>
  <c r="B1578" i="5"/>
  <c r="B2210" i="5"/>
  <c r="B2113" i="5"/>
  <c r="B823" i="5"/>
  <c r="B2632" i="5"/>
  <c r="B2518" i="5"/>
  <c r="B327" i="5"/>
  <c r="B4415" i="5"/>
  <c r="B3916" i="5"/>
  <c r="B95" i="5"/>
  <c r="B5478" i="5"/>
  <c r="B5025" i="5"/>
  <c r="B1290" i="5"/>
  <c r="B3043" i="5"/>
  <c r="B4613" i="5"/>
  <c r="B1537" i="5"/>
  <c r="B3672" i="5"/>
  <c r="B2471" i="5"/>
  <c r="B3612" i="5"/>
  <c r="B879" i="5"/>
  <c r="B699" i="5"/>
  <c r="B4939" i="5"/>
  <c r="B718" i="5"/>
  <c r="B2863" i="5"/>
  <c r="B3061" i="5"/>
  <c r="B1570" i="5"/>
  <c r="B1661" i="5"/>
  <c r="B1113" i="5"/>
  <c r="B2564" i="5"/>
  <c r="B2408" i="5"/>
  <c r="B5822" i="5"/>
  <c r="B3218" i="5"/>
  <c r="B57" i="5"/>
  <c r="B2105" i="5"/>
  <c r="B3461" i="5"/>
  <c r="B2756" i="5"/>
  <c r="B3544" i="5"/>
  <c r="B4440" i="5"/>
  <c r="B3042" i="5"/>
  <c r="B2960" i="5"/>
  <c r="B1949" i="5"/>
  <c r="B5023" i="5"/>
  <c r="B2241" i="5"/>
  <c r="B2330" i="5"/>
  <c r="B2940" i="5"/>
  <c r="B1438" i="5"/>
  <c r="B692" i="5"/>
  <c r="B1983" i="5"/>
  <c r="B2418" i="5"/>
  <c r="B4151" i="5"/>
  <c r="B3146" i="5"/>
  <c r="B5220" i="5"/>
  <c r="B1245" i="5"/>
  <c r="B2830" i="5"/>
  <c r="B3960" i="5"/>
  <c r="B5169" i="5"/>
  <c r="B2704" i="5"/>
  <c r="B4591" i="5"/>
  <c r="B6430" i="5"/>
  <c r="B993" i="5"/>
  <c r="B4447" i="5"/>
  <c r="B3661" i="5"/>
  <c r="B3667" i="5"/>
  <c r="B5234" i="5"/>
  <c r="B3244" i="5"/>
  <c r="B4652" i="5"/>
  <c r="B3753" i="5"/>
  <c r="B5783" i="5"/>
  <c r="B5414" i="5"/>
  <c r="B3686" i="5"/>
  <c r="B1529" i="5"/>
  <c r="B2694" i="5"/>
  <c r="B2916" i="5"/>
  <c r="B3057" i="5"/>
  <c r="B2401" i="5"/>
  <c r="B1162" i="5"/>
  <c r="B2040" i="5"/>
  <c r="B6016" i="5"/>
  <c r="B3267" i="5"/>
  <c r="B3863" i="5"/>
  <c r="B5580" i="5"/>
  <c r="B2425" i="5"/>
  <c r="B5832" i="5"/>
  <c r="B6247" i="5"/>
  <c r="B824" i="5"/>
  <c r="B1481" i="5"/>
  <c r="B5442" i="5"/>
  <c r="B3036" i="5"/>
  <c r="B3530" i="5"/>
  <c r="B1207" i="5"/>
  <c r="B539" i="5"/>
  <c r="B609" i="5"/>
  <c r="B751" i="5"/>
  <c r="B1062" i="5"/>
  <c r="B3284" i="5"/>
  <c r="B5627" i="5"/>
  <c r="B665" i="5"/>
  <c r="B758" i="5"/>
  <c r="B149" i="5"/>
  <c r="B912" i="5"/>
  <c r="B757" i="5"/>
  <c r="B1427" i="5"/>
  <c r="B3885" i="5"/>
  <c r="B3351" i="5"/>
  <c r="B2919" i="5"/>
  <c r="B5212" i="5"/>
  <c r="B978" i="5"/>
  <c r="B251" i="5"/>
  <c r="B513" i="5"/>
  <c r="B1135" i="5"/>
  <c r="B460" i="5"/>
  <c r="B200" i="5"/>
  <c r="B153" i="5"/>
  <c r="B113" i="5"/>
  <c r="B308" i="5"/>
  <c r="B2928" i="5"/>
  <c r="B242" i="5"/>
  <c r="B547" i="5"/>
  <c r="B1491" i="5"/>
  <c r="B479" i="5"/>
  <c r="B1752" i="5"/>
  <c r="B4674" i="5"/>
  <c r="B951" i="5"/>
  <c r="B2013" i="5"/>
  <c r="B626" i="5"/>
  <c r="B4374" i="5"/>
  <c r="B4196" i="5"/>
  <c r="B4550" i="5"/>
  <c r="B3327" i="5"/>
  <c r="B3549" i="5"/>
  <c r="B1789" i="5"/>
  <c r="B1212" i="5"/>
  <c r="B2809" i="5"/>
  <c r="B5494" i="5"/>
  <c r="B5677" i="5"/>
  <c r="B4059" i="5"/>
  <c r="B4791" i="5"/>
  <c r="B1160" i="5"/>
  <c r="B1749" i="5"/>
  <c r="B584" i="5"/>
  <c r="B881" i="5"/>
  <c r="B2189" i="5"/>
  <c r="B5144" i="5"/>
  <c r="B4739" i="5"/>
  <c r="B4621" i="5"/>
  <c r="B6164" i="5"/>
  <c r="B5260" i="5"/>
  <c r="B4092" i="5"/>
  <c r="B3954" i="5"/>
  <c r="B3621" i="5"/>
  <c r="B1540" i="5"/>
  <c r="B2594" i="5"/>
  <c r="B2733" i="5"/>
  <c r="B394" i="5"/>
  <c r="B3388" i="5"/>
  <c r="B6336" i="5"/>
  <c r="B3335" i="5"/>
  <c r="B2501" i="5"/>
  <c r="B3040" i="5"/>
  <c r="B3629" i="5"/>
  <c r="B5248" i="5"/>
  <c r="B4471" i="5"/>
  <c r="B5256" i="5"/>
  <c r="B3173" i="5"/>
  <c r="B6255" i="5"/>
  <c r="B5045" i="5"/>
  <c r="B1816" i="5"/>
  <c r="B215" i="5"/>
  <c r="B373" i="5"/>
  <c r="B201" i="5"/>
  <c r="B3955" i="5"/>
  <c r="B4035" i="5"/>
  <c r="B6248" i="5"/>
  <c r="B1515" i="5"/>
  <c r="B5165" i="5"/>
  <c r="B4220" i="5"/>
  <c r="B3272" i="5"/>
  <c r="B2750" i="5"/>
  <c r="B2398" i="5"/>
  <c r="B4852" i="5"/>
  <c r="B6280" i="5"/>
  <c r="B5665" i="5"/>
  <c r="B992" i="5"/>
  <c r="B4261" i="5"/>
  <c r="B5539" i="5"/>
  <c r="B3780" i="5"/>
  <c r="B3613" i="5"/>
  <c r="B5276" i="5"/>
  <c r="B5646" i="5"/>
  <c r="B1497" i="5"/>
  <c r="B5876" i="5"/>
  <c r="B3784" i="5"/>
  <c r="B2346" i="5"/>
  <c r="B908" i="5"/>
  <c r="B1406" i="5"/>
  <c r="B6556" i="5"/>
  <c r="B5951" i="5"/>
  <c r="B3922" i="5"/>
  <c r="B6292" i="5"/>
  <c r="B6294" i="5"/>
  <c r="B6260" i="5"/>
  <c r="B4367" i="5"/>
  <c r="B4753" i="5"/>
  <c r="B2025" i="5"/>
  <c r="B6134" i="5"/>
  <c r="B4294" i="5"/>
  <c r="B4649" i="5"/>
  <c r="B3348" i="5"/>
  <c r="B5339" i="5"/>
  <c r="B2318" i="5"/>
  <c r="B5463" i="5"/>
  <c r="B5883" i="5"/>
  <c r="B6469" i="5"/>
  <c r="B4904" i="5"/>
  <c r="B1143" i="5"/>
  <c r="B1271" i="5"/>
  <c r="B3776" i="5"/>
  <c r="B698" i="5"/>
  <c r="B875" i="5"/>
  <c r="B362" i="5"/>
  <c r="B2412" i="5"/>
  <c r="B5631" i="5"/>
  <c r="B5881" i="5"/>
  <c r="B1518" i="5"/>
  <c r="B310" i="5"/>
  <c r="B6275" i="5"/>
  <c r="B6297" i="5"/>
  <c r="B1017" i="5"/>
  <c r="B3382" i="5"/>
  <c r="B2615" i="5"/>
  <c r="B2182" i="5"/>
  <c r="B3117" i="5"/>
  <c r="B4868" i="5"/>
  <c r="B4882" i="5"/>
  <c r="B1577" i="5"/>
  <c r="B668" i="5"/>
  <c r="B2311" i="5"/>
  <c r="B1467" i="5"/>
  <c r="B2880" i="5"/>
  <c r="B1639" i="5"/>
  <c r="B4133" i="5"/>
  <c r="B1027" i="5"/>
  <c r="B778" i="5"/>
  <c r="B2970" i="5"/>
  <c r="B3726" i="5"/>
  <c r="B3992" i="5"/>
  <c r="B3799" i="5"/>
  <c r="B932" i="5"/>
  <c r="B6476" i="5"/>
  <c r="B3608" i="5"/>
  <c r="B6056" i="5"/>
  <c r="B5446" i="5"/>
  <c r="B3798" i="5"/>
  <c r="B749" i="5"/>
  <c r="B2572" i="5"/>
  <c r="B2293" i="5"/>
  <c r="B1797" i="5"/>
  <c r="B2968" i="5"/>
  <c r="B1548" i="5"/>
  <c r="B4830" i="5"/>
  <c r="B1836" i="5"/>
  <c r="B1362" i="5"/>
  <c r="B2395" i="5"/>
  <c r="B3421" i="5"/>
  <c r="B5608" i="5"/>
  <c r="B1609" i="5"/>
  <c r="B1985" i="5"/>
  <c r="B3504" i="5"/>
  <c r="B5044" i="5"/>
  <c r="B1697" i="5"/>
  <c r="B5466" i="5"/>
  <c r="B1634" i="5"/>
  <c r="B5231" i="5"/>
  <c r="B2771" i="5"/>
  <c r="B3925" i="5"/>
  <c r="B2446" i="5"/>
  <c r="B1311" i="5"/>
  <c r="B2277" i="5"/>
  <c r="B1981" i="5"/>
  <c r="B243" i="5"/>
  <c r="B5059" i="5"/>
  <c r="B4991" i="5"/>
  <c r="B5141" i="5"/>
  <c r="B1278" i="5"/>
  <c r="B1013" i="5"/>
  <c r="B102" i="5"/>
  <c r="B4558" i="5"/>
  <c r="B3136" i="5"/>
  <c r="B4712" i="5"/>
  <c r="B4690" i="5"/>
  <c r="B4866" i="5"/>
  <c r="B2712" i="5"/>
  <c r="B3740" i="5"/>
  <c r="B1643" i="5"/>
  <c r="B5360" i="5"/>
  <c r="B6216" i="5"/>
  <c r="B3732" i="5"/>
  <c r="B2869" i="5"/>
  <c r="B3729" i="5"/>
  <c r="B2560" i="5"/>
  <c r="B1285" i="5"/>
  <c r="B3966" i="5"/>
  <c r="B3338" i="5"/>
  <c r="B1273" i="5"/>
  <c r="B1778" i="5"/>
  <c r="B614" i="5"/>
  <c r="B401" i="5"/>
  <c r="B1759" i="5"/>
  <c r="B1581" i="5"/>
  <c r="B2600" i="5"/>
  <c r="B4572" i="5"/>
  <c r="B2897" i="5"/>
  <c r="B4103" i="5"/>
  <c r="B3763" i="5"/>
  <c r="B3636" i="5"/>
  <c r="B1926" i="5"/>
  <c r="B765" i="5"/>
  <c r="B788" i="5"/>
  <c r="B3013" i="5"/>
  <c r="B27" i="5"/>
  <c r="B1248" i="5"/>
  <c r="B3019" i="5"/>
  <c r="B119" i="5"/>
  <c r="B2098" i="5"/>
  <c r="B2136" i="5"/>
  <c r="B5090" i="5"/>
  <c r="B2535" i="5"/>
  <c r="B887" i="5"/>
  <c r="B456" i="5"/>
  <c r="B1247" i="5"/>
  <c r="B1041" i="5"/>
  <c r="B3697" i="5"/>
  <c r="B6155" i="5"/>
  <c r="B328" i="5"/>
  <c r="B3379" i="5"/>
  <c r="B2947" i="5"/>
  <c r="B2375" i="5"/>
  <c r="B3439" i="5"/>
  <c r="B1844" i="5"/>
  <c r="B2407" i="5"/>
  <c r="B5685" i="5"/>
  <c r="B4893" i="5"/>
  <c r="B2631" i="5"/>
  <c r="B6569" i="5"/>
  <c r="B2567" i="5"/>
  <c r="B2772" i="5"/>
  <c r="B3167" i="5"/>
  <c r="B1724" i="5"/>
  <c r="B6451" i="5"/>
  <c r="B5008" i="5"/>
  <c r="B4820" i="5"/>
  <c r="B3305" i="5"/>
  <c r="B4348" i="5"/>
  <c r="B3016" i="5"/>
  <c r="B1259" i="5"/>
  <c r="B5321" i="5"/>
  <c r="B628" i="5"/>
  <c r="B207" i="5"/>
  <c r="B25" i="5"/>
  <c r="B108" i="5"/>
  <c r="B291" i="5"/>
  <c r="B4159" i="5"/>
  <c r="B4132" i="5"/>
  <c r="B3606" i="5"/>
  <c r="B3550" i="5"/>
  <c r="B4827" i="5"/>
  <c r="B5571" i="5"/>
  <c r="B2438" i="5"/>
  <c r="B3292" i="5"/>
  <c r="B6010" i="5"/>
  <c r="B5704" i="5"/>
  <c r="B5287" i="5"/>
  <c r="B1107" i="5"/>
  <c r="B3119" i="5"/>
  <c r="B4908" i="5"/>
  <c r="B3147" i="5"/>
  <c r="B3419" i="5"/>
  <c r="B1089" i="5"/>
  <c r="B2914" i="5"/>
  <c r="B1085" i="5"/>
  <c r="B428" i="5"/>
  <c r="B548" i="5"/>
  <c r="B232" i="5"/>
  <c r="B5422" i="5"/>
  <c r="B2439" i="5"/>
  <c r="B631" i="5"/>
  <c r="B6250" i="5"/>
  <c r="B129" i="5"/>
  <c r="B361" i="5"/>
  <c r="B723" i="5"/>
  <c r="B1613" i="5"/>
  <c r="B1858" i="5"/>
  <c r="B6487" i="5"/>
  <c r="B5837" i="5"/>
  <c r="B3810" i="5"/>
  <c r="B6026" i="5"/>
  <c r="B3132" i="5"/>
  <c r="B6217" i="5"/>
  <c r="B6381" i="5"/>
  <c r="B6104" i="5"/>
  <c r="B6518" i="5"/>
  <c r="B6527" i="5"/>
  <c r="B6332" i="5"/>
  <c r="B5726" i="5"/>
  <c r="B6390" i="5"/>
  <c r="B3100" i="5"/>
  <c r="B2522" i="5"/>
  <c r="B808" i="5"/>
  <c r="B90" i="5"/>
  <c r="B2272" i="5"/>
  <c r="B278" i="5"/>
  <c r="B2385" i="5"/>
  <c r="B2599" i="5"/>
  <c r="B1002" i="5"/>
  <c r="B981" i="5"/>
  <c r="B3049" i="5"/>
  <c r="B4346" i="5"/>
  <c r="B3812" i="5"/>
  <c r="B4661" i="5"/>
  <c r="B5043" i="5"/>
  <c r="B5553" i="5"/>
  <c r="B5447" i="5"/>
  <c r="B1583" i="5"/>
  <c r="B3414" i="5"/>
  <c r="B6505" i="5"/>
  <c r="B5383" i="5"/>
  <c r="B3942" i="5"/>
  <c r="B5889" i="5"/>
  <c r="B5576" i="5"/>
  <c r="B6524" i="5"/>
  <c r="B4193" i="5"/>
  <c r="B1647" i="5"/>
  <c r="B2683" i="5"/>
  <c r="B5402" i="5"/>
  <c r="B5071" i="5"/>
  <c r="B6379" i="5"/>
  <c r="B5194" i="5"/>
  <c r="B5193" i="5"/>
  <c r="B5503" i="5"/>
  <c r="B2680" i="5"/>
  <c r="B1982" i="5"/>
  <c r="B4291" i="5"/>
  <c r="B6497" i="5"/>
  <c r="B4639" i="5"/>
  <c r="B842" i="5"/>
  <c r="B5514" i="5"/>
  <c r="B4223" i="5"/>
  <c r="B1656" i="5"/>
  <c r="B559" i="5"/>
  <c r="B3120" i="5"/>
  <c r="B3739" i="5"/>
  <c r="B4902" i="5"/>
  <c r="B5997" i="5"/>
  <c r="B556" i="5"/>
  <c r="B208" i="5"/>
  <c r="B696" i="5"/>
  <c r="B6409" i="5"/>
  <c r="B141" i="5"/>
  <c r="B2456" i="5"/>
  <c r="B937" i="5"/>
  <c r="B354" i="5"/>
  <c r="B364" i="5"/>
  <c r="B1152" i="5"/>
  <c r="B704" i="5"/>
  <c r="B148" i="5"/>
  <c r="B134" i="5"/>
  <c r="B1363" i="5"/>
  <c r="B612" i="5"/>
  <c r="B1154" i="5"/>
  <c r="B5356" i="5"/>
  <c r="B2875" i="5"/>
  <c r="B3274" i="5"/>
  <c r="B3919" i="5"/>
  <c r="B2815" i="5"/>
  <c r="B2356" i="5"/>
  <c r="B4605" i="5"/>
  <c r="B4404" i="5"/>
  <c r="B768" i="5"/>
  <c r="B1931" i="5"/>
  <c r="B2536" i="5"/>
  <c r="B1946" i="5"/>
  <c r="B1917" i="5"/>
  <c r="B1141" i="5"/>
  <c r="B2197" i="5"/>
  <c r="B2670" i="5"/>
  <c r="B1069" i="5"/>
  <c r="B396" i="5"/>
  <c r="B160" i="5"/>
  <c r="B13" i="5"/>
  <c r="B56" i="5"/>
  <c r="B676" i="5"/>
  <c r="B197" i="5"/>
  <c r="B48" i="5"/>
  <c r="B527" i="5"/>
  <c r="B253" i="5"/>
  <c r="B729" i="5"/>
  <c r="B1511" i="5"/>
  <c r="B5662" i="5"/>
  <c r="B4130" i="5"/>
  <c r="B3447" i="5"/>
  <c r="B1059" i="5"/>
  <c r="B5772" i="5"/>
  <c r="B1530" i="5"/>
  <c r="B1889" i="5"/>
  <c r="B3468" i="5"/>
  <c r="B5838" i="5"/>
  <c r="B2430" i="5"/>
  <c r="B4257" i="5"/>
  <c r="B1375" i="5"/>
  <c r="B2781" i="5"/>
  <c r="B5246" i="5"/>
  <c r="B2639" i="5"/>
  <c r="B4740" i="5"/>
  <c r="B4947" i="5"/>
  <c r="B1799" i="5"/>
  <c r="B273" i="5"/>
  <c r="B1136" i="5"/>
  <c r="B3158" i="5"/>
  <c r="B2974" i="5"/>
  <c r="B6363" i="5"/>
  <c r="B1042" i="5"/>
  <c r="B71" i="5"/>
  <c r="B643" i="5"/>
  <c r="B87" i="5"/>
  <c r="B464" i="5"/>
  <c r="B4734" i="5"/>
  <c r="B998" i="5"/>
  <c r="B30" i="5"/>
  <c r="B4050" i="5"/>
  <c r="B1031" i="5"/>
  <c r="B3654" i="5"/>
  <c r="B562" i="5"/>
  <c r="B302" i="5"/>
  <c r="B2519" i="5"/>
  <c r="B3431" i="5"/>
  <c r="B1470" i="5"/>
  <c r="B593" i="5"/>
  <c r="B4131" i="5"/>
  <c r="B5243" i="5"/>
  <c r="B3527" i="5"/>
  <c r="B4247" i="5"/>
  <c r="B2818" i="5"/>
  <c r="B3939" i="5"/>
  <c r="B885" i="5"/>
  <c r="B865" i="5"/>
  <c r="B3263" i="5"/>
  <c r="B5516" i="5"/>
  <c r="B322" i="5"/>
  <c r="B3700" i="5"/>
  <c r="B3073" i="5"/>
  <c r="B4021" i="5"/>
  <c r="B3589" i="5"/>
  <c r="B4745" i="5"/>
  <c r="B4765" i="5"/>
  <c r="B2581" i="5"/>
  <c r="B2520" i="5"/>
  <c r="B988" i="5"/>
  <c r="B1340" i="5"/>
  <c r="B60" i="5"/>
  <c r="B4575" i="5"/>
  <c r="B2633" i="5"/>
  <c r="B2899" i="5"/>
  <c r="B3529" i="5"/>
  <c r="B4760" i="5"/>
  <c r="B4186" i="5"/>
  <c r="B2838" i="5"/>
  <c r="B2146" i="5"/>
  <c r="B4952" i="5"/>
  <c r="B2529" i="5"/>
  <c r="B4710" i="5"/>
  <c r="B2645" i="5"/>
  <c r="B2336" i="5"/>
  <c r="B965" i="5"/>
  <c r="B5481" i="5"/>
  <c r="B3306" i="5"/>
  <c r="B5782" i="5"/>
  <c r="B5768" i="5"/>
  <c r="B4990" i="5"/>
  <c r="B3418" i="5"/>
  <c r="B3531" i="5"/>
  <c r="B2302" i="5"/>
  <c r="B2199" i="5"/>
  <c r="B690" i="5"/>
  <c r="B4876" i="5"/>
  <c r="B3651" i="5"/>
  <c r="B2347" i="5"/>
  <c r="B4548" i="5"/>
  <c r="B1779" i="5"/>
  <c r="B1655" i="5"/>
  <c r="B3007" i="5"/>
  <c r="B1953" i="5"/>
  <c r="B1464" i="5"/>
  <c r="B2964" i="5"/>
  <c r="B2165" i="5"/>
  <c r="B2672" i="5"/>
  <c r="B1422" i="5"/>
  <c r="B796" i="5"/>
  <c r="B3425" i="5"/>
  <c r="B2592" i="5"/>
  <c r="B3445" i="5"/>
  <c r="B2282" i="5"/>
  <c r="B1664" i="5"/>
  <c r="B2716" i="5"/>
  <c r="B3907" i="5"/>
  <c r="B2850" i="5"/>
  <c r="B6403" i="5"/>
  <c r="B1962" i="5"/>
  <c r="B2769" i="5"/>
  <c r="B1668" i="5"/>
  <c r="B2232" i="5"/>
  <c r="B2426" i="5"/>
  <c r="B1729" i="5"/>
  <c r="B1437" i="5"/>
  <c r="B368" i="5"/>
  <c r="B1785" i="5"/>
  <c r="B2545" i="5"/>
  <c r="B2092" i="5"/>
  <c r="B6313" i="5"/>
  <c r="B2309" i="5"/>
  <c r="B578" i="5"/>
  <c r="B999" i="5"/>
  <c r="B1174" i="5"/>
  <c r="B1991" i="5"/>
  <c r="B2271" i="5"/>
  <c r="B1354" i="5"/>
  <c r="B802" i="5"/>
  <c r="B231" i="5"/>
  <c r="B4389" i="5"/>
  <c r="B1591" i="5"/>
  <c r="B2653" i="5"/>
  <c r="B1255" i="5"/>
  <c r="B5291" i="5"/>
  <c r="B5722" i="5"/>
  <c r="B6222" i="5"/>
  <c r="B414" i="5"/>
  <c r="B4145" i="5"/>
  <c r="B4119" i="5"/>
  <c r="B4706" i="5"/>
  <c r="B6392" i="5"/>
  <c r="B5932" i="5"/>
  <c r="B6320" i="5"/>
  <c r="B5006" i="5"/>
  <c r="B3444" i="5"/>
  <c r="B5744" i="5"/>
  <c r="B4416" i="5"/>
  <c r="B5346" i="5"/>
  <c r="B4114" i="5"/>
  <c r="B3911" i="5"/>
  <c r="B1651" i="5"/>
  <c r="B6019" i="5"/>
  <c r="B2876" i="5"/>
  <c r="B5493" i="5"/>
  <c r="B5643" i="5"/>
  <c r="B2541" i="5"/>
  <c r="B3457" i="5"/>
  <c r="B5599" i="5"/>
  <c r="B4295" i="5"/>
  <c r="B4769" i="5"/>
  <c r="B4746" i="5"/>
  <c r="B5484" i="5"/>
  <c r="B587" i="5"/>
  <c r="B473" i="5"/>
  <c r="B1964" i="5"/>
  <c r="B5120" i="5"/>
  <c r="B1835" i="5"/>
  <c r="B1863" i="5"/>
  <c r="B5523" i="5"/>
  <c r="B3345" i="5"/>
  <c r="B923" i="5"/>
  <c r="B3188" i="5"/>
  <c r="B1054" i="5"/>
  <c r="B5861" i="5"/>
  <c r="B2310" i="5"/>
  <c r="B616" i="5"/>
  <c r="B4235" i="5"/>
  <c r="B5679" i="5"/>
  <c r="B4496" i="5"/>
  <c r="B3891" i="5"/>
  <c r="B4860" i="5"/>
  <c r="B4937" i="5"/>
  <c r="B6132" i="5"/>
  <c r="B6013" i="5"/>
  <c r="B5364" i="5"/>
  <c r="B5162" i="5"/>
  <c r="B5978" i="5"/>
  <c r="B2991" i="5"/>
  <c r="B4853" i="5"/>
  <c r="B3936" i="5"/>
  <c r="B4459" i="5"/>
  <c r="B158" i="5"/>
  <c r="B3685" i="5"/>
  <c r="B3974" i="5"/>
  <c r="B4060" i="5"/>
  <c r="B1138" i="5"/>
  <c r="B534" i="5"/>
  <c r="B2923" i="5"/>
  <c r="B1199" i="5"/>
  <c r="B3446" i="5"/>
  <c r="B2380" i="5"/>
  <c r="B2255" i="5"/>
  <c r="B389" i="5"/>
  <c r="B2329" i="5"/>
  <c r="B1211" i="5"/>
  <c r="B124" i="5"/>
  <c r="B2240" i="5"/>
  <c r="B4951" i="5"/>
  <c r="B2748" i="5"/>
  <c r="B5934" i="5"/>
  <c r="B6000" i="5"/>
  <c r="B3862" i="5"/>
  <c r="B5495" i="5"/>
  <c r="B5508" i="5"/>
  <c r="B5972" i="5"/>
  <c r="B5488" i="5"/>
  <c r="B1782" i="5"/>
  <c r="B454" i="5"/>
  <c r="B452" i="5"/>
  <c r="B1673" i="5"/>
  <c r="B1230" i="5"/>
  <c r="B1894" i="5"/>
  <c r="B498" i="5"/>
  <c r="B2121" i="5"/>
  <c r="B5115" i="5"/>
  <c r="B1349" i="5"/>
  <c r="B5995" i="5"/>
  <c r="B1546" i="5"/>
  <c r="B2540" i="5"/>
  <c r="B75" i="5"/>
  <c r="B2194" i="5"/>
  <c r="B710" i="5"/>
  <c r="B935" i="5"/>
  <c r="B463" i="5"/>
  <c r="B3317" i="5"/>
  <c r="B3085" i="5"/>
  <c r="B5779" i="5"/>
  <c r="B5460" i="5"/>
  <c r="B3133" i="5"/>
  <c r="B3515" i="5"/>
  <c r="B4329" i="5"/>
  <c r="B6266" i="5"/>
  <c r="B3843" i="5"/>
  <c r="B1913" i="5"/>
  <c r="B2707" i="5"/>
  <c r="B3297" i="5"/>
  <c r="B2682" i="5"/>
  <c r="B5669" i="5"/>
  <c r="B554" i="5"/>
  <c r="B4134" i="5"/>
  <c r="B4933" i="5"/>
  <c r="B1672" i="5"/>
  <c r="B3541" i="5"/>
  <c r="B1775" i="5"/>
  <c r="B5532" i="5"/>
  <c r="B2052" i="5"/>
  <c r="B3183" i="5"/>
  <c r="B2515" i="5"/>
  <c r="B5489" i="5"/>
  <c r="B2566" i="5"/>
  <c r="B2133" i="5"/>
  <c r="B484" i="5"/>
  <c r="B766" i="5"/>
  <c r="B358" i="5"/>
  <c r="B2203" i="5"/>
  <c r="B312" i="5"/>
  <c r="B2404" i="5"/>
  <c r="B4929" i="5"/>
  <c r="B416" i="5"/>
  <c r="B523" i="5"/>
  <c r="B1741" i="5"/>
  <c r="B500" i="5"/>
  <c r="B2283" i="5"/>
  <c r="B558" i="5"/>
  <c r="B478" i="5"/>
  <c r="B1157" i="5"/>
  <c r="B1927" i="5"/>
  <c r="B2073" i="5"/>
  <c r="B407" i="5"/>
  <c r="B2791" i="5"/>
  <c r="B5598" i="5"/>
  <c r="B2109" i="5"/>
  <c r="B4970" i="5"/>
  <c r="B3738" i="5"/>
  <c r="B4271" i="5"/>
  <c r="B2686" i="5"/>
  <c r="B1596" i="5"/>
  <c r="B2741" i="5"/>
  <c r="B1864" i="5"/>
  <c r="B4492" i="5"/>
  <c r="B4098" i="5"/>
  <c r="B5681" i="5"/>
  <c r="B3031" i="5"/>
  <c r="B5011" i="5"/>
  <c r="B1586" i="5"/>
  <c r="B4288" i="5"/>
  <c r="B1189" i="5"/>
  <c r="B4258" i="5"/>
  <c r="B508" i="5"/>
  <c r="B248" i="5"/>
  <c r="B3175" i="5"/>
  <c r="B3321" i="5"/>
  <c r="B5716" i="5"/>
  <c r="B6002" i="5"/>
  <c r="B1735" i="5"/>
  <c r="B3899" i="5"/>
  <c r="B2556" i="5"/>
  <c r="B1482" i="5"/>
  <c r="B6258" i="5"/>
  <c r="B2108" i="5"/>
  <c r="B1499" i="5"/>
  <c r="B3537" i="5"/>
  <c r="B3525" i="5"/>
  <c r="B6446" i="5"/>
  <c r="B972" i="5"/>
  <c r="B360" i="5"/>
  <c r="B1365" i="5"/>
  <c r="B5957" i="5"/>
  <c r="B3709" i="5"/>
  <c r="B4678" i="5"/>
  <c r="B3857" i="5"/>
  <c r="B52" i="5"/>
  <c r="B784" i="5"/>
  <c r="B271" i="5"/>
  <c r="B2755" i="5"/>
  <c r="B3653" i="5"/>
  <c r="B782" i="5"/>
  <c r="B3001" i="5"/>
  <c r="B1709" i="5"/>
  <c r="B1350" i="5"/>
  <c r="B1351" i="5"/>
  <c r="B2403" i="5"/>
  <c r="B1417" i="5"/>
  <c r="B3561" i="5"/>
  <c r="B1827" i="5"/>
  <c r="B2056" i="5"/>
  <c r="B4659" i="5"/>
  <c r="B5920" i="5"/>
  <c r="B420" i="5"/>
  <c r="B2734" i="5"/>
  <c r="B1561" i="5"/>
  <c r="B458" i="5"/>
  <c r="B5587" i="5"/>
  <c r="B722" i="5"/>
  <c r="B4230" i="5"/>
  <c r="B1384" i="5"/>
  <c r="B618" i="5"/>
  <c r="B2547" i="5"/>
  <c r="B347" i="5"/>
  <c r="B1137" i="5"/>
  <c r="B6532" i="5"/>
  <c r="B2279" i="5"/>
  <c r="B2393" i="5"/>
  <c r="B4978" i="5"/>
  <c r="B6079" i="5"/>
  <c r="B5130" i="5"/>
  <c r="B5769" i="5"/>
  <c r="B3340" i="5"/>
  <c r="B116" i="5"/>
  <c r="B2473" i="5"/>
  <c r="B1887" i="5"/>
  <c r="B3889" i="5"/>
  <c r="B3087" i="5"/>
  <c r="B4318" i="5"/>
  <c r="B2759" i="5"/>
  <c r="B4190" i="5"/>
  <c r="B3929" i="5"/>
  <c r="B3524" i="5"/>
  <c r="B1675" i="5"/>
  <c r="B2760" i="5"/>
  <c r="B3429" i="5"/>
  <c r="B5905" i="5"/>
  <c r="B3123" i="5"/>
  <c r="B4472" i="5"/>
  <c r="B2225" i="5"/>
  <c r="B2427" i="5"/>
  <c r="B2867" i="5"/>
  <c r="B2553" i="5"/>
  <c r="B6005" i="5"/>
  <c r="B1453" i="5"/>
  <c r="B1357" i="5"/>
  <c r="B2463" i="5"/>
  <c r="B3139" i="5"/>
  <c r="B2075" i="5"/>
  <c r="B1072" i="5"/>
  <c r="B1880" i="5"/>
  <c r="B3185" i="5"/>
  <c r="B1216" i="5"/>
  <c r="B2399" i="5"/>
  <c r="B3140" i="5"/>
  <c r="B1187" i="5"/>
  <c r="B5989" i="5"/>
  <c r="B1493" i="5"/>
  <c r="B3512" i="5"/>
  <c r="B2828" i="5"/>
  <c r="B4068" i="5"/>
  <c r="B6139" i="5"/>
  <c r="B2629" i="5"/>
  <c r="B5218" i="5"/>
  <c r="B4676" i="5"/>
  <c r="B6027" i="5"/>
  <c r="B6623" i="5"/>
  <c r="B1984" i="5"/>
  <c r="B3336" i="5"/>
  <c r="B667" i="5"/>
  <c r="B5657" i="5"/>
  <c r="B6052" i="5"/>
  <c r="B3046" i="5"/>
  <c r="B1163" i="5"/>
  <c r="B4393" i="5"/>
  <c r="B6551" i="5"/>
  <c r="B3728" i="5"/>
  <c r="B1074" i="5"/>
  <c r="B5182" i="5"/>
  <c r="B4056" i="5"/>
  <c r="B5345" i="5"/>
  <c r="B6555" i="5"/>
  <c r="B5202" i="5"/>
  <c r="B3803" i="5"/>
  <c r="B630" i="5"/>
  <c r="B2211" i="5"/>
  <c r="B2057" i="5"/>
  <c r="B5012" i="5"/>
  <c r="B4506" i="5"/>
  <c r="B3237" i="5"/>
  <c r="B569" i="5"/>
  <c r="B1140" i="5"/>
  <c r="B619" i="5"/>
  <c r="B1461" i="5"/>
  <c r="B3837" i="5"/>
  <c r="B2918" i="5"/>
  <c r="B5065" i="5"/>
  <c r="B5985" i="5"/>
  <c r="B6510" i="5"/>
  <c r="B1898" i="5"/>
  <c r="B1185" i="5"/>
  <c r="B6296" i="5"/>
  <c r="B5708" i="5"/>
  <c r="B2440" i="5"/>
  <c r="B3432" i="5"/>
  <c r="B2176" i="5"/>
  <c r="B4497" i="5"/>
  <c r="B6478" i="5"/>
  <c r="B5298" i="5"/>
  <c r="B4360" i="5"/>
  <c r="B1343" i="5"/>
  <c r="B1333" i="5"/>
  <c r="B2326" i="5"/>
  <c r="B1149" i="5"/>
  <c r="B1359" i="5"/>
  <c r="B4512" i="5"/>
  <c r="B3593" i="5"/>
  <c r="B4390" i="5"/>
  <c r="B5999" i="5"/>
  <c r="B3505" i="5"/>
  <c r="B5309" i="5"/>
  <c r="B5297" i="5"/>
  <c r="B1252" i="5"/>
  <c r="B2737" i="5"/>
  <c r="B5806" i="5"/>
  <c r="B1652" i="5"/>
  <c r="B3045" i="5"/>
  <c r="B3161" i="5"/>
  <c r="B2468" i="5"/>
  <c r="B2008" i="5"/>
  <c r="B3965" i="5"/>
  <c r="B2367" i="5"/>
  <c r="B3091" i="5"/>
  <c r="B3809" i="5"/>
  <c r="B5899" i="5"/>
  <c r="B4279" i="5"/>
  <c r="B6377" i="5"/>
  <c r="B6050" i="5"/>
  <c r="B6227" i="5"/>
  <c r="B1161" i="5"/>
  <c r="B2654" i="5"/>
  <c r="B1924" i="5"/>
  <c r="B6015" i="5"/>
  <c r="B5947" i="5"/>
  <c r="B5731" i="5"/>
  <c r="B3981" i="5"/>
  <c r="B1742" i="5"/>
  <c r="B6513" i="5"/>
  <c r="B6264" i="5"/>
  <c r="B5097" i="5"/>
  <c r="B2158" i="5"/>
  <c r="B5257" i="5"/>
  <c r="B3035" i="5"/>
  <c r="B4460" i="5"/>
  <c r="B1915" i="5"/>
  <c r="B4217" i="5"/>
  <c r="B4300" i="5"/>
  <c r="B4327" i="5"/>
  <c r="B3721" i="5"/>
  <c r="B3316" i="5"/>
  <c r="B1700" i="5"/>
  <c r="B1125" i="5"/>
  <c r="B3077" i="5"/>
  <c r="B915" i="5"/>
  <c r="B740" i="5"/>
  <c r="B6103" i="5"/>
  <c r="B3778" i="5"/>
  <c r="B6151" i="5"/>
  <c r="B1618" i="5"/>
  <c r="B2832" i="5"/>
  <c r="B5676" i="5"/>
  <c r="B5711" i="5"/>
  <c r="B2142" i="5"/>
  <c r="B1871" i="5"/>
  <c r="B1032" i="5"/>
  <c r="B659" i="5"/>
  <c r="B610" i="5"/>
  <c r="B5335" i="5"/>
  <c r="B4077" i="5"/>
  <c r="B3949" i="5"/>
  <c r="B161" i="5"/>
  <c r="B49" i="5"/>
  <c r="B1404" i="5"/>
  <c r="B2895" i="5"/>
  <c r="B4707" i="5"/>
  <c r="B1708" i="5"/>
  <c r="B3089" i="5"/>
  <c r="B5824" i="5"/>
  <c r="B4338" i="5"/>
  <c r="B3964" i="5"/>
  <c r="B3749" i="5"/>
  <c r="B4484" i="5"/>
  <c r="B4365" i="5"/>
  <c r="B4641" i="5"/>
  <c r="B4892" i="5"/>
  <c r="B4564" i="5"/>
  <c r="B3682" i="5"/>
  <c r="B5839" i="5"/>
  <c r="B6533" i="5"/>
  <c r="B1307" i="5"/>
  <c r="B4461" i="5"/>
  <c r="B5771" i="5"/>
  <c r="B2465" i="5"/>
  <c r="B2285" i="5"/>
  <c r="B2692" i="5"/>
  <c r="B4053" i="5"/>
  <c r="B3486" i="5"/>
  <c r="B2799" i="5"/>
  <c r="B2642" i="5"/>
  <c r="B3520" i="5"/>
  <c r="B4755" i="5"/>
  <c r="B3997" i="5"/>
  <c r="B3497" i="5"/>
  <c r="B2504" i="5"/>
  <c r="B1795" i="5"/>
  <c r="B3605" i="5"/>
  <c r="B3155" i="5"/>
  <c r="B4603" i="5"/>
  <c r="B2698" i="5"/>
  <c r="B3187" i="5"/>
  <c r="B1004" i="5"/>
  <c r="B3206" i="5"/>
  <c r="B5827" i="5"/>
  <c r="B1715" i="5"/>
  <c r="B984" i="5"/>
  <c r="B3995" i="5"/>
  <c r="B4102" i="5"/>
  <c r="B807" i="5"/>
  <c r="B128" i="5"/>
  <c r="B866" i="5"/>
  <c r="B571" i="5"/>
  <c r="B2656" i="5"/>
  <c r="B1306" i="5"/>
  <c r="B1763" i="5"/>
  <c r="B2608" i="5"/>
  <c r="B5942" i="5"/>
  <c r="B3879" i="5"/>
  <c r="B188" i="5"/>
  <c r="B295" i="5"/>
  <c r="B1240" i="5"/>
  <c r="B290" i="5"/>
  <c r="B288" i="5"/>
  <c r="B1101" i="5"/>
  <c r="B1496" i="5"/>
  <c r="B944" i="5"/>
  <c r="B633" i="5"/>
  <c r="B1346" i="5"/>
  <c r="B136" i="5"/>
  <c r="B1553" i="5"/>
  <c r="B45" i="5"/>
  <c r="B4514" i="5"/>
  <c r="B4534" i="5"/>
  <c r="B3344" i="5"/>
  <c r="B1786" i="5"/>
  <c r="B1691" i="5"/>
  <c r="B3189" i="5"/>
  <c r="B5146" i="5"/>
  <c r="B2424" i="5"/>
  <c r="B954" i="5"/>
  <c r="B5124" i="5"/>
  <c r="B1382" i="5"/>
  <c r="B1118" i="5"/>
  <c r="B3655" i="5"/>
  <c r="B3840" i="5"/>
  <c r="B3985" i="5"/>
  <c r="B1049" i="5"/>
  <c r="B1811" i="5"/>
  <c r="B4411" i="5"/>
  <c r="B6279" i="5"/>
  <c r="B4914" i="5"/>
  <c r="B4664" i="5"/>
  <c r="B4790" i="5"/>
  <c r="B4170" i="5"/>
  <c r="B501" i="5"/>
  <c r="B3533" i="5"/>
  <c r="B2831" i="5"/>
  <c r="B5928" i="5"/>
  <c r="B5053" i="5"/>
  <c r="B5566" i="5"/>
  <c r="B238" i="5"/>
  <c r="B6133" i="5"/>
  <c r="B2143" i="5"/>
  <c r="B1186" i="5"/>
  <c r="B4045" i="5"/>
  <c r="B3718" i="5"/>
  <c r="B2854" i="5"/>
  <c r="B4686" i="5"/>
  <c r="B6443" i="5"/>
  <c r="B6108" i="5"/>
  <c r="B2476" i="5"/>
  <c r="B3930" i="5"/>
  <c r="B5313" i="5"/>
  <c r="B5709" i="5"/>
  <c r="B2000" i="5"/>
  <c r="B792" i="5"/>
  <c r="B805" i="5"/>
  <c r="B3767" i="5"/>
  <c r="B3989" i="5"/>
  <c r="B1719" i="5"/>
  <c r="B1558" i="5"/>
  <c r="B1472" i="5"/>
  <c r="B6547" i="5"/>
  <c r="B4106" i="5"/>
  <c r="B2421" i="5"/>
  <c r="B5133" i="5"/>
  <c r="B1725" i="5"/>
  <c r="B1551" i="5"/>
  <c r="B5970" i="5"/>
  <c r="B2299" i="5"/>
  <c r="B964" i="5"/>
  <c r="B1068" i="5"/>
  <c r="B1028" i="5"/>
  <c r="B109" i="5"/>
  <c r="B41" i="5"/>
  <c r="B3898" i="5"/>
  <c r="B1568" i="5"/>
  <c r="B1633" i="5"/>
  <c r="B1663" i="5"/>
  <c r="B2548" i="5"/>
  <c r="B914" i="5"/>
  <c r="B2677" i="5"/>
  <c r="B939" i="5"/>
  <c r="B1458" i="5"/>
  <c r="B475" i="5"/>
  <c r="B3369" i="5"/>
  <c r="B3101" i="5"/>
  <c r="B1026" i="5"/>
  <c r="B5142" i="5"/>
  <c r="B2122" i="5"/>
  <c r="B2910" i="5"/>
  <c r="B5605" i="5"/>
  <c r="B570" i="5"/>
  <c r="B2191" i="5"/>
  <c r="B2038" i="5"/>
  <c r="B2183" i="5"/>
  <c r="B3735" i="5"/>
  <c r="B3202" i="5"/>
  <c r="B1823" i="5"/>
  <c r="B1523" i="5"/>
  <c r="B2649" i="5"/>
  <c r="B3403" i="5"/>
  <c r="B1699" i="5"/>
  <c r="B1702" i="5"/>
  <c r="B4113" i="5"/>
  <c r="B3485" i="5"/>
  <c r="B1852" i="5"/>
  <c r="B3659" i="5"/>
  <c r="B2312" i="5"/>
  <c r="B897" i="5"/>
  <c r="B1804" i="5"/>
  <c r="B1723" i="5"/>
  <c r="B650" i="5"/>
  <c r="B2474" i="5"/>
  <c r="B3988" i="5"/>
  <c r="B216" i="5"/>
  <c r="B5369" i="5"/>
  <c r="B5362" i="5"/>
  <c r="B5941" i="5"/>
  <c r="B3304" i="5"/>
  <c r="B5452" i="5"/>
  <c r="B3005" i="5"/>
  <c r="B1867" i="5"/>
  <c r="B2413" i="5"/>
  <c r="B1256" i="5"/>
  <c r="B721" i="5"/>
  <c r="B2135" i="5"/>
  <c r="B26" i="5"/>
  <c r="B195" i="5"/>
  <c r="B1807" i="5"/>
  <c r="B1768" i="5"/>
  <c r="B3127" i="5"/>
  <c r="B2488" i="5"/>
  <c r="B682" i="5"/>
  <c r="B791" i="5"/>
  <c r="B1716" i="5"/>
  <c r="B1217" i="5"/>
  <c r="B490" i="5"/>
  <c r="B2171" i="5"/>
  <c r="B3552" i="5"/>
  <c r="B5610" i="5"/>
  <c r="B3950" i="5"/>
  <c r="B2392" i="5"/>
  <c r="B3302" i="5"/>
  <c r="B3968" i="5"/>
  <c r="B2448" i="5"/>
  <c r="B2778" i="5"/>
  <c r="B1594" i="5"/>
  <c r="B3409" i="5"/>
  <c r="B3611" i="5"/>
  <c r="B1738" i="5"/>
  <c r="B638" i="5"/>
  <c r="B1316" i="5"/>
  <c r="B159" i="5"/>
  <c r="B374" i="5"/>
  <c r="B68" i="5"/>
  <c r="B4276" i="5"/>
  <c r="B4424" i="5"/>
  <c r="B2369" i="5"/>
  <c r="B1817" i="5"/>
  <c r="B4375" i="5"/>
  <c r="B5116" i="5"/>
  <c r="B2709" i="5"/>
  <c r="B2848" i="5"/>
  <c r="B3888" i="5"/>
  <c r="B3282" i="5"/>
  <c r="B5119" i="5"/>
  <c r="B3170" i="5"/>
  <c r="B924" i="5"/>
  <c r="B629" i="5"/>
  <c r="B3859" i="5"/>
  <c r="B1584" i="5"/>
  <c r="B579" i="5"/>
  <c r="B6495" i="5"/>
  <c r="B241" i="5"/>
  <c r="B334" i="5"/>
  <c r="B223" i="5"/>
  <c r="B511" i="5"/>
  <c r="B5281" i="5"/>
  <c r="B6479" i="5"/>
  <c r="B5831" i="5"/>
  <c r="B1881" i="5"/>
  <c r="B5594" i="5"/>
  <c r="B2794" i="5"/>
  <c r="B5468" i="5"/>
  <c r="B5535" i="5"/>
  <c r="B5693" i="5"/>
  <c r="B2981" i="5"/>
  <c r="B1383" i="5"/>
  <c r="B265" i="5"/>
  <c r="B505" i="5"/>
  <c r="B907" i="5"/>
  <c r="B1907" i="5"/>
  <c r="B2360" i="5"/>
  <c r="B4111" i="5"/>
  <c r="B3311" i="5"/>
  <c r="B5292" i="5"/>
  <c r="B5117" i="5"/>
  <c r="B3315" i="5"/>
  <c r="B6407" i="5"/>
  <c r="B3687" i="5"/>
  <c r="B3903" i="5"/>
  <c r="B2301" i="5"/>
  <c r="B4875" i="5"/>
  <c r="B4252" i="5"/>
  <c r="B6145" i="5"/>
  <c r="B589" i="5"/>
  <c r="B4687" i="5"/>
  <c r="B5225" i="5"/>
  <c r="B491" i="5"/>
  <c r="B3757" i="5"/>
  <c r="B4225" i="5"/>
  <c r="B4935" i="5"/>
  <c r="B1398" i="5"/>
  <c r="B1039" i="5"/>
  <c r="B448" i="5"/>
  <c r="B314" i="5"/>
  <c r="B1622" i="5"/>
  <c r="B292" i="5"/>
  <c r="B346" i="5"/>
  <c r="B147" i="5"/>
  <c r="B930" i="5"/>
  <c r="B224" i="5"/>
  <c r="B1386" i="5"/>
  <c r="B851" i="5"/>
  <c r="B1188" i="5"/>
  <c r="B445" i="5"/>
  <c r="B5249" i="5"/>
  <c r="B3690" i="5"/>
  <c r="B2063" i="5"/>
  <c r="B2258" i="5"/>
  <c r="B1455" i="5"/>
  <c r="B1943" i="5"/>
  <c r="B919" i="5"/>
  <c r="B3943" i="5"/>
  <c r="B2141" i="5"/>
  <c r="B1544" i="5"/>
  <c r="B382" i="5"/>
  <c r="B266" i="5"/>
  <c r="B22" i="5"/>
  <c r="B143" i="5"/>
  <c r="B835" i="5"/>
  <c r="B89" i="5"/>
  <c r="B276" i="5"/>
  <c r="B1156" i="5"/>
  <c r="B229" i="5"/>
  <c r="B1044" i="5"/>
  <c r="B2036" i="5"/>
  <c r="B686" i="5"/>
  <c r="B1387" i="5"/>
  <c r="B1543" i="5"/>
  <c r="B3694" i="5"/>
  <c r="B1851" i="5"/>
  <c r="B2852" i="5"/>
  <c r="B4894" i="5"/>
  <c r="B3029" i="5"/>
  <c r="B246" i="5"/>
  <c r="B258" i="5"/>
  <c r="B426" i="5"/>
  <c r="B127" i="5"/>
  <c r="B156" i="5"/>
  <c r="B550" i="5"/>
  <c r="B495" i="5"/>
  <c r="B625" i="5"/>
  <c r="B425" i="5"/>
  <c r="B663" i="5"/>
  <c r="B2699" i="5"/>
  <c r="B3182" i="5"/>
  <c r="B565" i="5"/>
  <c r="B46" i="5"/>
  <c r="B1119" i="5"/>
  <c r="B1504" i="5"/>
  <c r="B47" i="5"/>
  <c r="B1805" i="5"/>
  <c r="B345" i="5"/>
  <c r="B2201" i="5"/>
  <c r="B3756" i="5"/>
  <c r="B1696" i="5"/>
  <c r="B5399" i="5"/>
  <c r="B679" i="5"/>
  <c r="B3115" i="5"/>
  <c r="B5534" i="5"/>
  <c r="B3788" i="5"/>
  <c r="B855" i="5"/>
  <c r="B3597" i="5"/>
  <c r="B335" i="5"/>
  <c r="B2010" i="5"/>
  <c r="B2168" i="5"/>
  <c r="B5647" i="5"/>
  <c r="B3912" i="5"/>
  <c r="B1885" i="5"/>
  <c r="B5473" i="5"/>
  <c r="B2082" i="5"/>
  <c r="B5738" i="5"/>
  <c r="B1969" i="5"/>
  <c r="B871" i="5"/>
  <c r="B3644" i="5"/>
  <c r="B5353" i="5"/>
  <c r="B2898" i="5"/>
  <c r="B2719" i="5"/>
  <c r="B1239" i="5"/>
  <c r="B1234" i="5"/>
  <c r="B1761" i="5"/>
  <c r="B2765" i="5"/>
  <c r="B1060" i="5"/>
  <c r="B726" i="5"/>
  <c r="B1826" i="5"/>
  <c r="B363" i="5"/>
  <c r="B2888" i="5"/>
  <c r="B2598" i="5"/>
  <c r="B5310" i="5"/>
  <c r="B2028" i="5"/>
  <c r="B1281" i="5"/>
  <c r="B387" i="5"/>
  <c r="B1860" i="5"/>
  <c r="B2891" i="5"/>
  <c r="B2004" i="5"/>
  <c r="B1452" i="5"/>
  <c r="B404" i="5"/>
  <c r="B4142" i="5"/>
  <c r="B3233" i="5"/>
  <c r="B6068" i="5"/>
  <c r="B5866" i="5"/>
  <c r="B385" i="5"/>
  <c r="B794" i="5"/>
  <c r="B2787" i="5"/>
  <c r="B2723" i="5"/>
  <c r="B99" i="5"/>
  <c r="B4058" i="5"/>
  <c r="B4617" i="5"/>
  <c r="B5897" i="5"/>
  <c r="B6355" i="5"/>
  <c r="B3184" i="5"/>
  <c r="B3695" i="5"/>
  <c r="B4043" i="5"/>
  <c r="B6473" i="5"/>
  <c r="B5628" i="5"/>
  <c r="B5930" i="5"/>
  <c r="B4264" i="5"/>
  <c r="B4105" i="5"/>
  <c r="B975" i="5"/>
  <c r="B5470" i="5"/>
  <c r="B3223" i="5"/>
  <c r="B5582" i="5"/>
  <c r="B1774" i="5"/>
  <c r="B4634" i="5"/>
  <c r="B5290" i="5"/>
  <c r="B4812" i="5"/>
  <c r="B745" i="5"/>
  <c r="B880" i="5"/>
  <c r="B43" i="5"/>
  <c r="B567" i="5"/>
  <c r="B3024" i="5"/>
  <c r="B198" i="5"/>
  <c r="B139" i="5"/>
  <c r="B5524" i="5"/>
  <c r="B892" i="5"/>
  <c r="B4846" i="5"/>
  <c r="B4069" i="5"/>
  <c r="B5268" i="5"/>
  <c r="B2724" i="5"/>
  <c r="B3404" i="5"/>
  <c r="B1370" i="5"/>
  <c r="B4138" i="5"/>
  <c r="B5103" i="5"/>
  <c r="B3759" i="5"/>
  <c r="B4683" i="5"/>
  <c r="B4806" i="5"/>
  <c r="B6358" i="5"/>
  <c r="B4464" i="5"/>
  <c r="B3124" i="5"/>
  <c r="B98" i="5"/>
  <c r="B114" i="5"/>
  <c r="B1585" i="5"/>
  <c r="B645" i="5"/>
  <c r="B315" i="5"/>
  <c r="B4762" i="5"/>
  <c r="B2308" i="5"/>
  <c r="B4395" i="5"/>
  <c r="B450" i="5"/>
  <c r="B1134" i="5"/>
  <c r="B166" i="5"/>
  <c r="B2929" i="5"/>
  <c r="B4779" i="5"/>
  <c r="B3426" i="5"/>
  <c r="B4036" i="5"/>
  <c r="B5496" i="5"/>
  <c r="B5338" i="5"/>
  <c r="B5785" i="5"/>
  <c r="B5282" i="5"/>
  <c r="B5911" i="5"/>
  <c r="B5497" i="5"/>
  <c r="B339" i="5"/>
  <c r="B1022" i="5"/>
  <c r="B217" i="5"/>
  <c r="B2674" i="5"/>
  <c r="B2821" i="5"/>
  <c r="B5031" i="5"/>
  <c r="B307" i="5"/>
  <c r="B1794" i="5"/>
  <c r="B1593" i="5"/>
  <c r="B759" i="5"/>
  <c r="B130" i="5"/>
  <c r="B123" i="5"/>
  <c r="B2826" i="5"/>
  <c r="B6109" i="5"/>
  <c r="B4666" i="5"/>
  <c r="B6436" i="5"/>
  <c r="B4940" i="5"/>
  <c r="B5003" i="5"/>
  <c r="B2872" i="5"/>
  <c r="B3393" i="5"/>
  <c r="B594" i="5"/>
  <c r="B5118" i="5"/>
  <c r="B1695" i="5"/>
  <c r="B2752" i="5"/>
  <c r="B1987" i="5"/>
  <c r="B5491" i="5"/>
  <c r="B2307" i="5"/>
  <c r="B4616" i="5"/>
  <c r="B2475" i="5"/>
  <c r="B5891" i="5"/>
  <c r="B2264" i="5"/>
  <c r="B2053" i="5"/>
  <c r="B936" i="5"/>
  <c r="B829" i="5"/>
  <c r="B1418" i="5"/>
  <c r="B2534" i="5"/>
  <c r="B1102" i="5"/>
  <c r="B5341" i="5"/>
  <c r="B2673" i="5"/>
  <c r="B433" i="5"/>
  <c r="B3746" i="5"/>
  <c r="B2917" i="5"/>
  <c r="B5653" i="5"/>
  <c r="B2023" i="5"/>
  <c r="B4596" i="5"/>
  <c r="B3656" i="5"/>
  <c r="B5540" i="5"/>
  <c r="B1692" i="5"/>
  <c r="B3602" i="5"/>
  <c r="B3478" i="5"/>
  <c r="B5021" i="5"/>
  <c r="B2952" i="5"/>
  <c r="B509" i="5"/>
  <c r="B1214" i="5"/>
  <c r="B6286" i="5"/>
  <c r="B797" i="5"/>
  <c r="B1559" i="5"/>
  <c r="B3470" i="5"/>
  <c r="B4162" i="5"/>
  <c r="B2889" i="5"/>
  <c r="B284" i="5"/>
  <c r="B294" i="5"/>
  <c r="B163" i="5"/>
  <c r="B1364" i="5"/>
  <c r="B4688" i="5"/>
  <c r="B97" i="5"/>
  <c r="B898" i="5"/>
  <c r="B202" i="5"/>
  <c r="B2776" i="5"/>
  <c r="B4083" i="5"/>
  <c r="B1008" i="5"/>
  <c r="B3221" i="5"/>
  <c r="B5372" i="5"/>
  <c r="B2090" i="5"/>
  <c r="B960" i="5"/>
  <c r="B4773" i="5"/>
  <c r="B4019" i="5"/>
  <c r="B6049" i="5"/>
  <c r="B6125" i="5"/>
  <c r="B5477" i="5"/>
  <c r="B4040" i="5"/>
  <c r="B3956" i="5"/>
  <c r="B3908" i="5"/>
  <c r="B1764" i="5"/>
  <c r="B2192" i="5"/>
  <c r="B5253" i="5"/>
  <c r="B4680" i="5"/>
  <c r="B822" i="5"/>
  <c r="B2185" i="5"/>
  <c r="B455" i="5"/>
  <c r="B1457" i="5"/>
  <c r="B239" i="5"/>
  <c r="B214" i="5"/>
  <c r="B2942" i="5"/>
  <c r="B1966" i="5"/>
  <c r="B3199" i="5"/>
  <c r="B3641" i="5"/>
  <c r="B2344" i="5"/>
  <c r="B5472" i="5"/>
  <c r="B2006" i="5"/>
  <c r="B3626" i="5"/>
  <c r="B2740" i="5"/>
  <c r="B3000" i="5"/>
  <c r="B6314" i="5"/>
  <c r="B4463" i="5"/>
  <c r="B281" i="5"/>
  <c r="B3978" i="5"/>
  <c r="B3556" i="5"/>
  <c r="B1619" i="5"/>
  <c r="B4536" i="5"/>
  <c r="B5351" i="5"/>
  <c r="B2922" i="5"/>
  <c r="B5692" i="5"/>
  <c r="B4457" i="5"/>
  <c r="B5777" i="5"/>
  <c r="B4982" i="5"/>
  <c r="B5505" i="5"/>
  <c r="B3673" i="5"/>
  <c r="B2236" i="5"/>
  <c r="B3131" i="5"/>
  <c r="B3953" i="5"/>
  <c r="B5392" i="5"/>
  <c r="B2066" i="5"/>
  <c r="B1246" i="5"/>
  <c r="B3698" i="5"/>
  <c r="B1227" i="5"/>
  <c r="B3727" i="5"/>
  <c r="B3773" i="5"/>
  <c r="B3536" i="5"/>
  <c r="B2767" i="5"/>
  <c r="B1614" i="5"/>
  <c r="B4417" i="5"/>
  <c r="B689" i="5"/>
  <c r="B4658" i="5"/>
  <c r="B3440" i="5"/>
  <c r="B2861" i="5"/>
  <c r="B1604" i="5"/>
  <c r="B4183" i="5"/>
  <c r="B4349" i="5"/>
  <c r="B4007" i="5"/>
  <c r="B4695" i="5"/>
  <c r="B3298" i="5"/>
  <c r="B3125" i="5"/>
  <c r="B3724" i="5"/>
  <c r="B3038" i="5"/>
  <c r="B6213" i="5"/>
  <c r="B2059" i="5"/>
  <c r="B2100" i="5"/>
  <c r="B709" i="5"/>
  <c r="B144" i="5"/>
  <c r="B20" i="5"/>
  <c r="B3509" i="5"/>
  <c r="B5056" i="5"/>
  <c r="B4163" i="5"/>
  <c r="B3195" i="5"/>
  <c r="B2925" i="5"/>
  <c r="B2764" i="5"/>
  <c r="B157" i="5"/>
  <c r="B1566" i="5"/>
  <c r="B724" i="5"/>
  <c r="B2481" i="5"/>
  <c r="B4015" i="5"/>
  <c r="B2101" i="5"/>
  <c r="B2857" i="5"/>
  <c r="B4839" i="5"/>
  <c r="B5518" i="5"/>
  <c r="B6094" i="5"/>
  <c r="B6083" i="5"/>
  <c r="B4580" i="5"/>
  <c r="B4253" i="5"/>
  <c r="B6136" i="5"/>
  <c r="B2431" i="5"/>
  <c r="B1986" i="5"/>
  <c r="B1449" i="5"/>
  <c r="B2234" i="5"/>
  <c r="B4301" i="5"/>
  <c r="B5812" i="5"/>
  <c r="B3983" i="5"/>
  <c r="B4625" i="5"/>
  <c r="B5448" i="5"/>
  <c r="B5396" i="5"/>
  <c r="B5642" i="5"/>
  <c r="B1087" i="5"/>
  <c r="B6616" i="5"/>
  <c r="B1665" i="5"/>
  <c r="B1527" i="5"/>
  <c r="B2507" i="5"/>
  <c r="B4034" i="5"/>
  <c r="B4001" i="5"/>
  <c r="B1832" i="5"/>
  <c r="B5869" i="5"/>
  <c r="B332" i="5"/>
  <c r="B3452" i="5"/>
  <c r="B2657" i="5"/>
  <c r="B5809" i="5"/>
  <c r="B1783" i="5"/>
  <c r="B3853" i="5"/>
  <c r="B6076" i="5"/>
  <c r="B3423" i="5"/>
  <c r="B3015" i="5"/>
  <c r="B1320" i="5"/>
  <c r="B6360" i="5"/>
  <c r="B1921" i="5"/>
  <c r="B4576" i="5"/>
  <c r="B3177" i="5"/>
  <c r="B3211" i="5"/>
  <c r="B4645" i="5"/>
  <c r="B1923" i="5"/>
  <c r="B1859" i="5"/>
  <c r="B1819" i="5"/>
  <c r="B2650" i="5"/>
  <c r="B4064" i="5"/>
  <c r="B5134" i="5"/>
  <c r="B2180" i="5"/>
  <c r="B3178" i="5"/>
  <c r="B2550" i="5"/>
  <c r="B5456" i="5"/>
  <c r="B3540" i="5"/>
  <c r="B3977" i="5"/>
  <c r="B1781" i="5"/>
  <c r="B3230" i="5"/>
  <c r="B3443" i="5"/>
  <c r="B4025" i="5"/>
  <c r="B995" i="5"/>
  <c r="B1734" i="5"/>
  <c r="B1905" i="5"/>
  <c r="B5758" i="5"/>
  <c r="B5579" i="5"/>
  <c r="B3632" i="5"/>
  <c r="B3842" i="5"/>
  <c r="B5431" i="5"/>
  <c r="B4298" i="5"/>
  <c r="B2896" i="5"/>
  <c r="B6405" i="5"/>
  <c r="B5757" i="5"/>
  <c r="B6457" i="5"/>
  <c r="B6304" i="5"/>
  <c r="B1999" i="5"/>
  <c r="B4704" i="5"/>
  <c r="B2844" i="5"/>
  <c r="B3712" i="5"/>
  <c r="B4796" i="5"/>
  <c r="B873" i="5"/>
  <c r="B878" i="5"/>
  <c r="B1220" i="5"/>
  <c r="B6538" i="5"/>
  <c r="B194" i="5"/>
  <c r="B140" i="5"/>
  <c r="B6435" i="5"/>
  <c r="B6333" i="5"/>
  <c r="B6549" i="5"/>
  <c r="B6589" i="5"/>
  <c r="B1360" i="5"/>
  <c r="B6291" i="5"/>
  <c r="B2202" i="5"/>
  <c r="B1145" i="5"/>
  <c r="B1793" i="5"/>
  <c r="B2949" i="5"/>
  <c r="B2434" i="5"/>
  <c r="B1436" i="5"/>
  <c r="B4234" i="5"/>
  <c r="B4107" i="5"/>
  <c r="B2605" i="5"/>
  <c r="B5945" i="5"/>
  <c r="B5884" i="5"/>
  <c r="B1368" i="5"/>
  <c r="B1413" i="5"/>
  <c r="B3838" i="5"/>
  <c r="B1808" i="5"/>
  <c r="B3650" i="5"/>
  <c r="B3281" i="5"/>
  <c r="B6439" i="5"/>
  <c r="B3080" i="5"/>
  <c r="B5746" i="5"/>
  <c r="B5526" i="5"/>
  <c r="B5815" i="5"/>
  <c r="B3208" i="5"/>
  <c r="B2069" i="5"/>
  <c r="B3684" i="5"/>
  <c r="B3620" i="5"/>
  <c r="B5537" i="5"/>
  <c r="B4240" i="5"/>
  <c r="B5640" i="5"/>
  <c r="B5577" i="5"/>
  <c r="B5645" i="5"/>
  <c r="B3324" i="5"/>
  <c r="B4677" i="5"/>
  <c r="B4443" i="5"/>
  <c r="B4434" i="5"/>
  <c r="B4642" i="5"/>
  <c r="B5227" i="5"/>
  <c r="B5403" i="5"/>
  <c r="B2343" i="5"/>
  <c r="B1023" i="5"/>
  <c r="B1694" i="5"/>
  <c r="B2280" i="5"/>
  <c r="B552" i="5"/>
  <c r="B1003" i="5"/>
  <c r="B1153" i="5"/>
  <c r="B1955" i="5"/>
  <c r="B15" i="5"/>
  <c r="B252" i="5"/>
  <c r="B955" i="5"/>
  <c r="B929" i="5"/>
  <c r="B352" i="5"/>
  <c r="B24" i="5"/>
  <c r="B83" i="5"/>
  <c r="B117" i="5"/>
  <c r="B3577" i="5"/>
  <c r="B4561" i="5"/>
  <c r="B2526" i="5"/>
  <c r="B3591" i="5"/>
  <c r="B3399" i="5"/>
  <c r="B3209" i="5"/>
  <c r="B4974" i="5"/>
  <c r="B4872" i="5"/>
  <c r="B4793" i="5"/>
  <c r="B4585" i="5"/>
  <c r="B3814" i="5"/>
  <c r="B4371" i="5"/>
  <c r="B6105" i="5"/>
  <c r="B3259" i="5"/>
  <c r="B3467" i="5"/>
  <c r="B3670" i="5"/>
  <c r="B4508" i="5"/>
  <c r="B2433" i="5"/>
  <c r="B4221" i="5"/>
  <c r="B1666" i="5"/>
  <c r="B2685" i="5"/>
  <c r="B2377" i="5"/>
  <c r="B5388" i="5"/>
  <c r="B5671" i="5"/>
  <c r="B3703" i="5"/>
  <c r="B2445" i="5"/>
  <c r="B3877" i="5"/>
  <c r="B6553" i="5"/>
  <c r="B6480" i="5"/>
  <c r="B3640" i="5"/>
  <c r="B5751" i="5"/>
  <c r="B6349" i="5"/>
  <c r="B6034" i="5"/>
  <c r="B5908" i="5"/>
  <c r="B5845" i="5"/>
  <c r="B2260" i="5"/>
  <c r="B5793" i="5"/>
  <c r="B2906" i="5"/>
  <c r="B142" i="5"/>
  <c r="B6158" i="5"/>
  <c r="B6421" i="5"/>
  <c r="B4004" i="5"/>
  <c r="B4155" i="5"/>
  <c r="B5890" i="5"/>
  <c r="B2904" i="5"/>
  <c r="B3479" i="5"/>
  <c r="B5429" i="5"/>
  <c r="B3876" i="5"/>
  <c r="B5993" i="5"/>
  <c r="B3564" i="5"/>
  <c r="B5307" i="5"/>
  <c r="B5079" i="5"/>
  <c r="B6398" i="5"/>
  <c r="B5407" i="5"/>
  <c r="B2338" i="5"/>
  <c r="B2041" i="5"/>
  <c r="B1091" i="5"/>
  <c r="B5748" i="5"/>
  <c r="B2245" i="5"/>
  <c r="B957" i="5"/>
  <c r="B348" i="5"/>
  <c r="B507" i="5"/>
  <c r="B895" i="5"/>
  <c r="B738" i="5"/>
  <c r="B683" i="5"/>
  <c r="B1064" i="5"/>
  <c r="B5564" i="5"/>
  <c r="B1650" i="5"/>
  <c r="B5206" i="5"/>
  <c r="B2596" i="5"/>
  <c r="B938" i="5"/>
  <c r="B560" i="5"/>
  <c r="B189" i="5"/>
  <c r="B2715" i="5"/>
  <c r="B883" i="5"/>
  <c r="B2696" i="5"/>
  <c r="B383" i="5"/>
  <c r="B522" i="5"/>
  <c r="B4646" i="5"/>
  <c r="B2805" i="5"/>
  <c r="B2640" i="5"/>
  <c r="B1524" i="5"/>
  <c r="B2322" i="5"/>
  <c r="B2472" i="5"/>
  <c r="B2967" i="5"/>
  <c r="B2661" i="5"/>
  <c r="B1547" i="5"/>
  <c r="B5207" i="5"/>
  <c r="B5801" i="5"/>
  <c r="B5242" i="5"/>
  <c r="B5458" i="5"/>
  <c r="B2668" i="5"/>
  <c r="B431" i="5"/>
  <c r="B4816" i="5"/>
  <c r="B4848" i="5"/>
  <c r="B4803" i="5"/>
  <c r="B1870" i="5"/>
  <c r="B2216" i="5"/>
  <c r="B4372" i="5"/>
  <c r="B2259" i="5"/>
  <c r="B5747" i="5"/>
  <c r="B3781" i="5"/>
  <c r="B5240" i="5"/>
  <c r="B3873" i="5"/>
  <c r="B5745" i="5"/>
  <c r="B5828" i="5"/>
  <c r="B3834" i="5"/>
  <c r="B1173" i="5"/>
  <c r="B4388" i="5"/>
  <c r="B4101" i="5"/>
  <c r="B1625" i="5"/>
  <c r="B3482" i="5"/>
  <c r="B2187" i="5"/>
  <c r="B6384" i="5"/>
  <c r="B4331" i="5"/>
  <c r="B3507" i="5"/>
  <c r="B4055" i="5"/>
  <c r="B1580" i="5"/>
  <c r="B2793" i="5"/>
  <c r="B4002" i="5"/>
  <c r="B1682" i="5"/>
  <c r="B1253" i="5"/>
  <c r="B6494" i="5"/>
  <c r="B4910" i="5"/>
  <c r="B2257" i="5"/>
  <c r="B1196" i="5"/>
  <c r="B779" i="5"/>
  <c r="B2562" i="5"/>
  <c r="B1658" i="5"/>
  <c r="B608" i="5"/>
  <c r="B2802" i="5"/>
  <c r="B4584" i="5"/>
  <c r="B869" i="5"/>
  <c r="B1401" i="5"/>
  <c r="B2376" i="5"/>
  <c r="B3041" i="5"/>
  <c r="B3377" i="5"/>
  <c r="B4675" i="5"/>
  <c r="B5591" i="5"/>
  <c r="B1565" i="5"/>
  <c r="B2853" i="5"/>
  <c r="B2048" i="5"/>
  <c r="B1602" i="5"/>
  <c r="B3821" i="5"/>
  <c r="B1736" i="5"/>
  <c r="B1483" i="5"/>
  <c r="B1573" i="5"/>
  <c r="B1419" i="5"/>
  <c r="B2365" i="5"/>
  <c r="B1416" i="5"/>
  <c r="B2124" i="5"/>
  <c r="B2658" i="5"/>
  <c r="B4357" i="5"/>
  <c r="B3018" i="5"/>
  <c r="B2269" i="5"/>
  <c r="B3755" i="5"/>
  <c r="B2467" i="5"/>
  <c r="B5405" i="5"/>
  <c r="B5840" i="5"/>
  <c r="B3329" i="5"/>
  <c r="B289" i="5"/>
  <c r="B3559" i="5"/>
  <c r="B3522" i="5"/>
  <c r="B3841" i="5"/>
  <c r="B2287" i="5"/>
  <c r="B1476" i="5"/>
  <c r="B3927" i="5"/>
  <c r="B1231" i="5"/>
  <c r="B1490" i="5"/>
  <c r="B4611" i="5"/>
  <c r="B2012" i="5"/>
  <c r="B5264" i="5"/>
  <c r="B1005" i="5"/>
  <c r="B649" i="5"/>
  <c r="B4115" i="5"/>
  <c r="B3028" i="5"/>
  <c r="B3920" i="5"/>
  <c r="B1224" i="5"/>
  <c r="B2500" i="5"/>
  <c r="B2985" i="5"/>
  <c r="B761" i="5"/>
  <c r="B2862" i="5"/>
  <c r="B2846" i="5"/>
  <c r="B5098" i="5"/>
  <c r="B1164" i="5"/>
  <c r="B3181" i="5"/>
  <c r="B3872" i="5"/>
  <c r="B5868" i="5"/>
  <c r="B4973" i="5"/>
  <c r="B4761" i="5"/>
  <c r="B4749" i="5"/>
  <c r="B974" i="5"/>
  <c r="B2160" i="5"/>
  <c r="B1869" i="5"/>
  <c r="B4144" i="5"/>
  <c r="B3110" i="5"/>
  <c r="B5714" i="5"/>
  <c r="B5705" i="5"/>
  <c r="B4713" i="5"/>
  <c r="B2568" i="5"/>
  <c r="B521" i="5"/>
  <c r="B5054" i="5"/>
  <c r="B773" i="5"/>
  <c r="B2457" i="5"/>
  <c r="B5381" i="5"/>
  <c r="B1092" i="5"/>
  <c r="B1532" i="5"/>
  <c r="B1760" i="5"/>
  <c r="B6308" i="5"/>
  <c r="B5655" i="5"/>
  <c r="B1967" i="5"/>
  <c r="B6185" i="5"/>
  <c r="B3346" i="5"/>
  <c r="B5319" i="5"/>
  <c r="B6364" i="5"/>
  <c r="B5040" i="5"/>
  <c r="B3958" i="5"/>
  <c r="B891" i="5"/>
  <c r="B2766" i="5"/>
  <c r="B3215" i="5"/>
  <c r="B4800" i="5"/>
  <c r="B4286" i="5"/>
  <c r="B4450" i="5"/>
  <c r="B3312" i="5"/>
  <c r="B5874" i="5"/>
  <c r="B3266" i="5"/>
  <c r="B4224" i="5"/>
  <c r="B3991" i="5"/>
  <c r="B3523" i="5"/>
  <c r="B1929" i="5"/>
  <c r="B1733" i="5"/>
  <c r="B4013" i="5"/>
  <c r="B2934" i="5"/>
  <c r="B2622" i="5"/>
  <c r="B350" i="5"/>
  <c r="B4657" i="5"/>
  <c r="B949" i="5"/>
  <c r="B1798" i="5"/>
  <c r="B3168" i="5"/>
  <c r="B3600" i="5"/>
  <c r="B2296" i="5"/>
  <c r="B2354" i="5"/>
  <c r="B4681" i="5"/>
  <c r="B2746" i="5"/>
  <c r="B309" i="5"/>
  <c r="B446" i="5"/>
  <c r="B111" i="5"/>
  <c r="B1250" i="5"/>
  <c r="B673" i="5"/>
  <c r="B982" i="5"/>
  <c r="B1516" i="5"/>
  <c r="B4656" i="5"/>
  <c r="B4090" i="5"/>
  <c r="B5075" i="5"/>
  <c r="B2511" i="5"/>
  <c r="B4720" i="5"/>
  <c r="B2364" i="5"/>
  <c r="B5914" i="5"/>
  <c r="B5312" i="5"/>
  <c r="B5069" i="5"/>
  <c r="B4209" i="5"/>
  <c r="B180" i="5"/>
  <c r="B948" i="5"/>
  <c r="B1356" i="5"/>
  <c r="B1358" i="5"/>
  <c r="B888" i="5"/>
  <c r="B329" i="5"/>
  <c r="B411" i="5"/>
  <c r="B2845" i="5"/>
  <c r="B3831" i="5"/>
  <c r="B4185" i="5"/>
  <c r="B564" i="5"/>
  <c r="B2868" i="5"/>
  <c r="B477" i="5"/>
  <c r="B747" i="5"/>
  <c r="B545" i="5"/>
  <c r="B170" i="5"/>
  <c r="B126" i="5"/>
  <c r="B1899" i="5"/>
  <c r="B2096" i="5"/>
  <c r="B2784" i="5"/>
  <c r="B4179" i="5"/>
  <c r="B1397" i="5"/>
  <c r="B1574" i="5"/>
  <c r="B3474" i="5"/>
  <c r="B1414" i="5"/>
  <c r="B4187" i="5"/>
  <c r="B3004" i="5"/>
  <c r="B5410" i="5"/>
  <c r="B1649" i="5"/>
  <c r="B1720" i="5"/>
  <c r="B4635" i="5"/>
  <c r="B5618" i="5"/>
  <c r="B4958" i="5"/>
  <c r="B5963" i="5"/>
  <c r="B5683" i="5"/>
  <c r="B2130" i="5"/>
  <c r="B4927" i="5"/>
  <c r="B4862" i="5"/>
  <c r="B2842" i="5"/>
  <c r="B4309" i="5"/>
  <c r="B4946" i="5"/>
  <c r="B4354" i="5"/>
  <c r="B3560" i="5"/>
  <c r="B3264" i="5"/>
  <c r="B714" i="5"/>
  <c r="B3449" i="5"/>
  <c r="B730" i="5"/>
  <c r="B3275" i="5"/>
  <c r="B2262" i="5"/>
  <c r="B2166" i="5"/>
  <c r="B1244" i="5"/>
  <c r="B2706" i="5"/>
  <c r="B2502" i="5"/>
  <c r="B6343" i="5"/>
  <c r="B432" i="5"/>
  <c r="B1077" i="5"/>
  <c r="B1009" i="5"/>
  <c r="B3254" i="5"/>
  <c r="B977" i="5"/>
  <c r="B1070" i="5"/>
  <c r="B4930" i="5"/>
  <c r="B5684" i="5"/>
  <c r="B5019" i="5"/>
  <c r="B5215" i="5"/>
  <c r="B4873" i="5"/>
  <c r="B5164" i="5"/>
  <c r="B3880" i="5"/>
  <c r="B4366" i="5"/>
  <c r="B3252" i="5"/>
  <c r="B5803" i="5"/>
  <c r="B4216" i="5"/>
  <c r="B3491" i="5"/>
  <c r="B5200" i="5"/>
  <c r="B5170" i="5"/>
  <c r="B1369" i="5"/>
  <c r="B486" i="5"/>
  <c r="B6179" i="5"/>
  <c r="B953" i="5"/>
  <c r="B356" i="5"/>
  <c r="B175" i="5"/>
  <c r="B1637" i="5"/>
  <c r="B1992" i="5"/>
  <c r="B3858" i="5"/>
  <c r="B4160" i="5"/>
  <c r="B499" i="5"/>
  <c r="B5168" i="5"/>
  <c r="B5057" i="5"/>
  <c r="B4834" i="5"/>
  <c r="B4414" i="5"/>
  <c r="B1131" i="5"/>
  <c r="B1850" i="5"/>
  <c r="B1533" i="5"/>
  <c r="B1730" i="5"/>
  <c r="B2630" i="5"/>
  <c r="B702" i="5"/>
  <c r="B1435" i="5"/>
  <c r="B1132" i="5"/>
  <c r="B1896" i="5"/>
  <c r="B4807" i="5"/>
  <c r="B2717" i="5"/>
  <c r="B3971" i="5"/>
  <c r="B3706" i="5"/>
  <c r="B2286" i="5"/>
  <c r="B4175" i="5"/>
  <c r="B4511" i="5"/>
  <c r="B4886" i="5"/>
  <c r="B3723" i="5"/>
  <c r="B515" i="5"/>
  <c r="B465" i="5"/>
  <c r="B230" i="5"/>
  <c r="B2825" i="5"/>
  <c r="B2298" i="5"/>
  <c r="B2687" i="5"/>
  <c r="B1313" i="5"/>
  <c r="B3363" i="5"/>
  <c r="B3373" i="5"/>
  <c r="B1777" i="5"/>
  <c r="B1938" i="5"/>
  <c r="B3075" i="5"/>
  <c r="B3249" i="5"/>
  <c r="B4818" i="5"/>
  <c r="B2961" i="5"/>
  <c r="B1743" i="5"/>
  <c r="B5180" i="5"/>
  <c r="B5904" i="5"/>
  <c r="B1194" i="5"/>
  <c r="B3484" i="5"/>
  <c r="B5299" i="5"/>
  <c r="B4178" i="5"/>
  <c r="B3913" i="5"/>
  <c r="B4822" i="5"/>
  <c r="B213" i="5"/>
  <c r="B3806" i="5"/>
  <c r="B268" i="5"/>
  <c r="B574" i="5"/>
  <c r="B928" i="5"/>
  <c r="B2276" i="5"/>
  <c r="B1562" i="5"/>
  <c r="B1117" i="5"/>
  <c r="B1722" i="5"/>
  <c r="B1103" i="5"/>
  <c r="B5393" i="5"/>
  <c r="B4280" i="5"/>
  <c r="B4573" i="5"/>
  <c r="B3401" i="5"/>
  <c r="B3246" i="5"/>
  <c r="B3490" i="5"/>
  <c r="B2061" i="5"/>
  <c r="B5630" i="5"/>
  <c r="B5572" i="5"/>
  <c r="B2833" i="5"/>
  <c r="B979" i="5"/>
  <c r="B3142" i="5"/>
  <c r="B6065" i="5"/>
  <c r="B4122" i="5"/>
  <c r="B1598" i="5"/>
  <c r="B1611" i="5"/>
  <c r="B5327" i="5"/>
  <c r="B1105" i="5"/>
  <c r="B3993" i="5"/>
  <c r="B2186" i="5"/>
  <c r="B4493" i="5"/>
  <c r="B220" i="5"/>
  <c r="B3096" i="5"/>
  <c r="B427" i="5"/>
  <c r="B1756" i="5"/>
  <c r="B1895" i="5"/>
  <c r="B2002" i="5"/>
  <c r="B4029" i="5"/>
  <c r="B700" i="5"/>
  <c r="B5568" i="5"/>
  <c r="B6110" i="5"/>
  <c r="B5424" i="5"/>
  <c r="B909" i="5"/>
  <c r="B462" i="5"/>
  <c r="B647" i="5"/>
  <c r="B1721" i="5"/>
  <c r="B504" i="5"/>
  <c r="B340" i="5"/>
  <c r="B4277" i="5"/>
  <c r="B2221" i="5"/>
  <c r="B2983" i="5"/>
  <c r="B5678" i="5"/>
  <c r="B6607" i="5"/>
  <c r="B2396" i="5"/>
  <c r="B6344" i="5"/>
  <c r="B3066" i="5"/>
  <c r="B3578" i="5"/>
  <c r="B1310" i="5"/>
  <c r="B6268" i="5"/>
  <c r="B7" i="5"/>
  <c r="B330" i="5"/>
  <c r="B245" i="5"/>
  <c r="B155" i="5"/>
  <c r="B50" i="5"/>
  <c r="B449" i="5"/>
  <c r="B514" i="5"/>
  <c r="B1757" i="5"/>
  <c r="B653" i="5"/>
  <c r="B1392" i="5"/>
  <c r="B1251" i="5"/>
  <c r="B341" i="5"/>
  <c r="B2591" i="5"/>
  <c r="B3941" i="5"/>
  <c r="B5992" i="5"/>
  <c r="B6223" i="5"/>
  <c r="B3451" i="5"/>
  <c r="B6098" i="5"/>
  <c r="B6081" i="5"/>
  <c r="B5742" i="5"/>
  <c r="B1848" i="5"/>
  <c r="B1195" i="5"/>
  <c r="B3010" i="5"/>
  <c r="B6041" i="5"/>
  <c r="B4052" i="5"/>
  <c r="B2095" i="5"/>
  <c r="B6458" i="5"/>
  <c r="B1841" i="5"/>
  <c r="B3771" i="5"/>
  <c r="B2134" i="5"/>
  <c r="B6096" i="5"/>
  <c r="B2531" i="5"/>
  <c r="B6520" i="5"/>
  <c r="B4480" i="5"/>
  <c r="B1572" i="5"/>
  <c r="B1166" i="5"/>
  <c r="B3088" i="5"/>
  <c r="B1051" i="5"/>
  <c r="B5444" i="5"/>
  <c r="B3875" i="5"/>
  <c r="B6539" i="5"/>
  <c r="B6525" i="5"/>
  <c r="B3786" i="5"/>
  <c r="B4405" i="5"/>
  <c r="B4623" i="5"/>
  <c r="B5988" i="5"/>
  <c r="B5847" i="5"/>
  <c r="B6077" i="5"/>
  <c r="B3030" i="5"/>
  <c r="B474" i="5"/>
  <c r="B4825" i="5"/>
  <c r="B5786" i="5"/>
  <c r="B5592" i="5"/>
  <c r="B4315" i="5"/>
  <c r="B5188" i="5"/>
  <c r="B2954" i="5"/>
  <c r="B2595" i="5"/>
  <c r="B2032" i="5"/>
  <c r="B2273" i="5"/>
  <c r="B3309" i="5"/>
  <c r="B5055" i="5"/>
  <c r="B1047" i="5"/>
  <c r="B2116" i="5"/>
  <c r="B3984" i="5"/>
  <c r="B3870" i="5"/>
  <c r="B34" i="5"/>
  <c r="B754" i="5"/>
  <c r="B2458" i="5"/>
  <c r="B162" i="5"/>
  <c r="B1300" i="5"/>
  <c r="B1208" i="5"/>
  <c r="B2801" i="5"/>
  <c r="B5077" i="5"/>
  <c r="B2390" i="5"/>
  <c r="B2988" i="5"/>
  <c r="B3896" i="5"/>
  <c r="B3854" i="5"/>
  <c r="B6160" i="5"/>
  <c r="B6087" i="5"/>
  <c r="B713" i="5"/>
  <c r="B5499" i="5"/>
  <c r="B620" i="5"/>
  <c r="B1834" i="5"/>
  <c r="B3805" i="5"/>
  <c r="B2478" i="5"/>
  <c r="B3836" i="5"/>
  <c r="B2228" i="5"/>
  <c r="B3268" i="5"/>
  <c r="B3574" i="5"/>
  <c r="B3122" i="5"/>
  <c r="B4453" i="5"/>
  <c r="B3647" i="5"/>
  <c r="B4849" i="5"/>
  <c r="B4604" i="5"/>
  <c r="B5700" i="5"/>
  <c r="B5843" i="5"/>
  <c r="B5039" i="5"/>
  <c r="B2829" i="5"/>
  <c r="B3835" i="5"/>
  <c r="B4355" i="5"/>
  <c r="B4408" i="5"/>
  <c r="B5498" i="5"/>
  <c r="B3969" i="5"/>
  <c r="B4648" i="5"/>
  <c r="B2366" i="5"/>
  <c r="B3900" i="5"/>
  <c r="B5288" i="5"/>
  <c r="B5649" i="5"/>
  <c r="B4802" i="5"/>
  <c r="B2820" i="5"/>
  <c r="B6048" i="5"/>
  <c r="B5176" i="5"/>
  <c r="B5050" i="5"/>
  <c r="B6447" i="5"/>
  <c r="B6412" i="5"/>
  <c r="B6602" i="5"/>
  <c r="B6563" i="5"/>
  <c r="B4444" i="5"/>
  <c r="B6283" i="5"/>
  <c r="B6612" i="5"/>
  <c r="B5515" i="5"/>
  <c r="B6135" i="5"/>
  <c r="B4972" i="5"/>
  <c r="B6591" i="5"/>
  <c r="B4400" i="5"/>
  <c r="B4815" i="5"/>
  <c r="B6582" i="5"/>
  <c r="B6578" i="5"/>
  <c r="B5311" i="5"/>
  <c r="B4091" i="5"/>
  <c r="B1762" i="5"/>
  <c r="B6466" i="5"/>
  <c r="B4156" i="5"/>
  <c r="B4854" i="5"/>
  <c r="B6419" i="5"/>
  <c r="B2270" i="5"/>
  <c r="B5408" i="5"/>
  <c r="B3301" i="5"/>
  <c r="B6516" i="5"/>
  <c r="B2454" i="5"/>
  <c r="B3692" i="5"/>
  <c r="B5651" i="5"/>
  <c r="B1402" i="5"/>
  <c r="B3093" i="5"/>
  <c r="B3400" i="5"/>
  <c r="B5014" i="5"/>
  <c r="B4061" i="5"/>
  <c r="B4983" i="5"/>
  <c r="B4845" i="5"/>
  <c r="B3680" i="5"/>
  <c r="B6388" i="5"/>
  <c r="B4403" i="5"/>
  <c r="B5633" i="5"/>
  <c r="B5204" i="5"/>
  <c r="B6318" i="5"/>
  <c r="B4981" i="5"/>
  <c r="B5858" i="5"/>
  <c r="B537" i="5"/>
  <c r="B480" i="5"/>
  <c r="B2442" i="5"/>
  <c r="B6101" i="5"/>
  <c r="B5506" i="5"/>
  <c r="B3465" i="5"/>
  <c r="B6245" i="5"/>
  <c r="B6224" i="5"/>
  <c r="B5529" i="5"/>
  <c r="B5712" i="5"/>
  <c r="B3766" i="5"/>
  <c r="B3532" i="5"/>
  <c r="B4897" i="5"/>
  <c r="B5259" i="5"/>
  <c r="B5983" i="5"/>
  <c r="B3744" i="5"/>
  <c r="B4072" i="5"/>
  <c r="B4364" i="5"/>
  <c r="B4012" i="5"/>
  <c r="B3032" i="5"/>
  <c r="B2773" i="5"/>
  <c r="B3893" i="5"/>
  <c r="B6322" i="5"/>
  <c r="B2711" i="5"/>
  <c r="B2554" i="5"/>
  <c r="B6011" i="5"/>
  <c r="B3313" i="5"/>
  <c r="B3604" i="5"/>
  <c r="B4669" i="5"/>
  <c r="B1079" i="5"/>
  <c r="B262" i="5"/>
  <c r="B227" i="5"/>
  <c r="B2523" i="5"/>
  <c r="B1645" i="5"/>
  <c r="B3539" i="5"/>
  <c r="B206" i="5"/>
  <c r="B4608" i="5"/>
  <c r="B2033" i="5"/>
  <c r="B3931" i="5"/>
  <c r="B2485" i="5"/>
  <c r="B5048" i="5"/>
  <c r="B5418" i="5"/>
  <c r="B3332" i="5"/>
  <c r="B3027" i="5"/>
  <c r="B1463" i="5"/>
  <c r="B5149" i="5"/>
  <c r="B5228" i="5"/>
  <c r="B4901" i="5"/>
  <c r="B5788" i="5"/>
  <c r="B5251" i="5"/>
  <c r="B5199" i="5"/>
  <c r="B6051" i="5"/>
  <c r="B3256" i="5"/>
  <c r="B1556" i="5"/>
  <c r="B4481" i="5"/>
  <c r="B4595" i="5"/>
  <c r="B4047" i="5"/>
  <c r="B471" i="5"/>
  <c r="B321" i="5"/>
  <c r="B5888" i="5"/>
  <c r="B6031" i="5"/>
  <c r="B4655" i="5"/>
  <c r="B4304" i="5"/>
  <c r="B5915" i="5"/>
  <c r="B5359" i="5"/>
  <c r="B5355" i="5"/>
  <c r="B3365" i="5"/>
  <c r="B1996" i="5"/>
  <c r="B440" i="5"/>
  <c r="B1275" i="5"/>
  <c r="B259" i="5"/>
  <c r="B3069" i="5"/>
  <c r="B4912" i="5"/>
  <c r="B5854" i="5"/>
  <c r="B6021" i="5"/>
  <c r="B5585" i="5"/>
  <c r="B5100" i="5"/>
  <c r="B5457" i="5"/>
  <c r="B2785" i="5"/>
  <c r="B5073" i="5"/>
  <c r="B4856" i="5"/>
  <c r="B4936" i="5"/>
  <c r="B5401" i="5"/>
  <c r="B5829" i="5"/>
  <c r="B6066" i="5"/>
  <c r="B5247" i="5"/>
  <c r="B3944" i="5"/>
  <c r="B5157" i="5"/>
  <c r="B2223" i="5"/>
  <c r="B1828" i="5"/>
  <c r="B2371" i="5"/>
  <c r="B5430" i="5"/>
  <c r="B6342" i="5"/>
  <c r="B2305" i="5"/>
  <c r="B3137" i="5"/>
  <c r="B4867" i="5"/>
  <c r="B150" i="5"/>
  <c r="B1243" i="5"/>
  <c r="B184" i="5"/>
  <c r="B234" i="5"/>
  <c r="B1093" i="5"/>
  <c r="B115" i="5"/>
  <c r="B5900" i="5"/>
  <c r="B1381" i="5"/>
  <c r="B3105" i="5"/>
  <c r="B2046" i="5"/>
  <c r="B2024" i="5"/>
  <c r="B2578" i="5"/>
  <c r="B3442" i="5"/>
  <c r="B830" i="5"/>
  <c r="B1309" i="5"/>
  <c r="B1790" i="5"/>
  <c r="B843" i="5"/>
  <c r="B694" i="5"/>
  <c r="B1589" i="5"/>
  <c r="B6491" i="5"/>
  <c r="B137" i="5"/>
  <c r="B65" i="5"/>
  <c r="B681" i="5"/>
  <c r="B531" i="5"/>
  <c r="B91" i="5"/>
  <c r="B849" i="5"/>
  <c r="B412" i="5"/>
  <c r="B3106" i="5"/>
  <c r="B5680" i="5"/>
  <c r="B5632" i="5"/>
  <c r="B5192" i="5"/>
  <c r="B2881" i="5"/>
  <c r="B3980" i="5"/>
  <c r="B2678" i="5"/>
  <c r="B4969" i="5"/>
  <c r="B1945" i="5"/>
  <c r="B4577" i="5"/>
  <c r="B2570" i="5"/>
  <c r="B5063" i="5"/>
  <c r="B5626" i="5"/>
  <c r="B5841" i="5"/>
  <c r="B5389" i="5"/>
  <c r="B4764" i="5"/>
  <c r="B485" i="5"/>
  <c r="B3002" i="5"/>
  <c r="B4381" i="5"/>
  <c r="B1066" i="5"/>
  <c r="B3643" i="5"/>
  <c r="B4670" i="5"/>
  <c r="B203" i="5"/>
  <c r="B1662" i="5"/>
  <c r="B1957" i="5"/>
  <c r="B1579" i="5"/>
  <c r="B900" i="5"/>
  <c r="B2887" i="5"/>
  <c r="B3257" i="5"/>
  <c r="B818" i="5"/>
  <c r="B3748" i="5"/>
  <c r="B3037" i="5"/>
  <c r="B1920" i="5"/>
  <c r="B4165" i="5"/>
  <c r="B6346" i="5"/>
  <c r="B3337" i="5"/>
  <c r="B968" i="5"/>
  <c r="B250" i="5"/>
  <c r="B181" i="5"/>
  <c r="B854" i="5"/>
  <c r="B14" i="5"/>
  <c r="B70" i="5"/>
  <c r="B120" i="5"/>
  <c r="B437" i="5"/>
  <c r="B590" i="5"/>
  <c r="B8" i="5"/>
  <c r="B269" i="5"/>
  <c r="B366" i="5"/>
  <c r="B524" i="5"/>
  <c r="B169" i="5"/>
  <c r="B103" i="5"/>
  <c r="B3887" i="5"/>
  <c r="B4212" i="5"/>
  <c r="B4997" i="5"/>
  <c r="B3823" i="5"/>
  <c r="B3594" i="5"/>
  <c r="B2788" i="5"/>
  <c r="B2583" i="5"/>
  <c r="B2251" i="5"/>
  <c r="B3758" i="5"/>
  <c r="B371" i="5"/>
  <c r="B355" i="5"/>
  <c r="B767" i="5"/>
  <c r="B1840" i="5"/>
  <c r="B6301" i="5"/>
  <c r="B5570" i="5"/>
  <c r="B3508" i="5"/>
  <c r="B3417" i="5"/>
  <c r="B4552" i="5"/>
  <c r="B4210" i="5"/>
  <c r="B86" i="5"/>
  <c r="B1441" i="5"/>
  <c r="B6064" i="5"/>
  <c r="B3708" i="5"/>
  <c r="B4640" i="5"/>
  <c r="B3624" i="5"/>
  <c r="B1788" i="5"/>
  <c r="B3059" i="5"/>
  <c r="B6529" i="5"/>
  <c r="B4339" i="5"/>
  <c r="B2297" i="5"/>
  <c r="B1560" i="5"/>
  <c r="B3033" i="5"/>
  <c r="B3638" i="5"/>
  <c r="B4363" i="5"/>
  <c r="B6088" i="5"/>
  <c r="B1036" i="5"/>
  <c r="B1108" i="5"/>
  <c r="B2946" i="5"/>
  <c r="B2953" i="5"/>
  <c r="B1205" i="5"/>
  <c r="B4926" i="5"/>
  <c r="B2126" i="5"/>
  <c r="B5114" i="5"/>
  <c r="B1372" i="5"/>
  <c r="B2087" i="5"/>
  <c r="B3492" i="5"/>
  <c r="B4468" i="5"/>
  <c r="B3047" i="5"/>
  <c r="B2212" i="5"/>
  <c r="B1377" i="5"/>
  <c r="B2986" i="5"/>
  <c r="B1209" i="5"/>
  <c r="B5687" i="5"/>
  <c r="B1812" i="5"/>
  <c r="B3511" i="5"/>
  <c r="B1607" i="5"/>
  <c r="B1159" i="5"/>
  <c r="B5047" i="5"/>
  <c r="B5492" i="5"/>
  <c r="B3291" i="5"/>
  <c r="B3203" i="5"/>
  <c r="B2969" i="5"/>
  <c r="B2730" i="5"/>
  <c r="B3892" i="5"/>
  <c r="B3455" i="5"/>
  <c r="B5879" i="5"/>
  <c r="B5836" i="5"/>
  <c r="B5567" i="5"/>
  <c r="B174" i="5"/>
  <c r="B122" i="5"/>
  <c r="B4167" i="5"/>
  <c r="B1466" i="5"/>
  <c r="B1582" i="5"/>
  <c r="B178" i="5"/>
  <c r="B225" i="5"/>
  <c r="B423" i="5"/>
  <c r="B247" i="5"/>
  <c r="B304" i="5"/>
  <c r="B2419" i="5"/>
  <c r="B359" i="5"/>
  <c r="B257" i="5"/>
  <c r="B275" i="5"/>
  <c r="B651" i="5"/>
  <c r="B660" i="5"/>
  <c r="B37" i="5"/>
  <c r="B934" i="5"/>
  <c r="B901" i="5"/>
  <c r="B4636" i="5"/>
  <c r="B3238" i="5"/>
  <c r="B2739" i="5"/>
  <c r="B3506" i="5"/>
  <c r="B6284" i="5"/>
  <c r="B1592" i="5"/>
  <c r="B1925" i="5"/>
  <c r="B1704" i="5"/>
  <c r="B3258" i="5"/>
  <c r="B3097" i="5"/>
  <c r="B4679" i="5"/>
  <c r="B6123" i="5"/>
  <c r="B4075" i="5"/>
  <c r="B2840" i="5"/>
  <c r="B5088" i="5"/>
  <c r="B4858" i="5"/>
  <c r="B3232" i="5"/>
  <c r="B3460" i="5"/>
  <c r="B4308" i="5"/>
  <c r="B88" i="5"/>
  <c r="B541" i="5"/>
  <c r="B5775" i="5"/>
  <c r="B6024" i="5"/>
  <c r="B317" i="5"/>
  <c r="B372" i="5"/>
  <c r="B576" i="5"/>
  <c r="B319" i="5"/>
  <c r="B1829" i="5"/>
  <c r="B4386" i="5"/>
  <c r="B1304" i="5"/>
  <c r="B1822" i="5"/>
  <c r="B1620" i="5"/>
  <c r="B2014" i="5"/>
  <c r="B654" i="5"/>
  <c r="B2315" i="5"/>
  <c r="B994" i="5"/>
  <c r="B1686" i="5"/>
  <c r="B1116" i="5"/>
  <c r="B133" i="5"/>
  <c r="B270" i="5"/>
  <c r="B4022" i="5"/>
  <c r="B2414" i="5"/>
  <c r="B1272" i="5"/>
  <c r="B846" i="5"/>
  <c r="B2580" i="5"/>
  <c r="B1510" i="5"/>
  <c r="B4752" i="5"/>
  <c r="B530" i="5"/>
  <c r="B4207" i="5"/>
  <c r="B3150" i="5"/>
  <c r="B3793" i="5"/>
  <c r="B2064" i="5"/>
  <c r="B3816" i="5"/>
  <c r="B4140" i="5"/>
  <c r="B2797" i="5"/>
  <c r="B209" i="5"/>
  <c r="B212" i="5"/>
  <c r="B2671" i="5"/>
  <c r="B1266" i="5"/>
  <c r="B5517" i="5"/>
  <c r="B1534" i="5"/>
  <c r="B384" i="5"/>
  <c r="B2588" i="5"/>
  <c r="B5404" i="5"/>
  <c r="B6029" i="5"/>
  <c r="B6177" i="5"/>
  <c r="B2549" i="5"/>
  <c r="B1411" i="5"/>
  <c r="B4835" i="5"/>
  <c r="B5823" i="5"/>
  <c r="B5721" i="5"/>
  <c r="B6167" i="5"/>
  <c r="B5433" i="5"/>
  <c r="B1053" i="5"/>
  <c r="B1977" i="5"/>
  <c r="B6448" i="5"/>
  <c r="B6331" i="5"/>
  <c r="B5558" i="5"/>
  <c r="B5411" i="5"/>
  <c r="B5819" i="5"/>
  <c r="B4325" i="5"/>
  <c r="B557" i="5"/>
  <c r="B1670" i="5"/>
  <c r="B4906" i="5"/>
  <c r="B2527" i="5"/>
  <c r="B4432" i="5"/>
  <c r="B1685" i="5"/>
  <c r="B5177" i="5"/>
  <c r="B145" i="5"/>
  <c r="B1380" i="5"/>
  <c r="B4079" i="5"/>
  <c r="B5637" i="5"/>
  <c r="B3371" i="5"/>
  <c r="B3408" i="5"/>
  <c r="B5674" i="5"/>
  <c r="B5441" i="5"/>
  <c r="B2911" i="5"/>
  <c r="B297" i="5"/>
  <c r="B3103" i="5"/>
  <c r="B4330" i="5"/>
  <c r="B2610" i="5"/>
  <c r="B1688" i="5"/>
  <c r="B5413" i="5"/>
  <c r="B2728" i="5"/>
  <c r="B5222" i="5"/>
  <c r="B6420" i="5"/>
  <c r="B6515" i="5"/>
  <c r="B6337" i="5"/>
  <c r="B3677" i="5"/>
  <c r="B3050" i="5"/>
  <c r="B4888" i="5"/>
  <c r="B1462" i="5"/>
  <c r="B2361" i="5"/>
  <c r="B1876" i="5"/>
  <c r="B4475" i="5"/>
  <c r="B4343" i="5"/>
  <c r="B1403" i="5"/>
  <c r="B2106" i="5"/>
  <c r="B3245" i="5"/>
  <c r="B4466" i="5"/>
  <c r="B11" i="5"/>
  <c r="B1043" i="5"/>
  <c r="B1081" i="5"/>
  <c r="B21" i="5"/>
  <c r="B132" i="5"/>
  <c r="B5366" i="5"/>
  <c r="B3200" i="5"/>
  <c r="B716" i="5"/>
  <c r="B1325" i="5"/>
  <c r="B3496" i="5"/>
  <c r="B3572" i="5"/>
  <c r="B827" i="5"/>
  <c r="B1888" i="5"/>
  <c r="B1286" i="5"/>
  <c r="B2517" i="5"/>
  <c r="B2444" i="5"/>
  <c r="B986" i="5"/>
  <c r="B3253" i="5"/>
  <c r="B2939" i="5"/>
  <c r="B519" i="5"/>
  <c r="B1405" i="5"/>
  <c r="B1813" i="5"/>
  <c r="B2659" i="5"/>
  <c r="B1465" i="5"/>
  <c r="B439" i="5"/>
  <c r="B434" i="5"/>
  <c r="B675" i="5"/>
  <c r="B4016" i="5"/>
  <c r="B4314" i="5"/>
  <c r="B3128" i="5"/>
  <c r="B1707" i="5"/>
  <c r="B3975" i="5"/>
  <c r="B4361" i="5"/>
  <c r="B5317" i="5"/>
  <c r="B3156" i="5"/>
  <c r="B1500" i="5"/>
  <c r="B3952" i="5"/>
  <c r="B680" i="5"/>
  <c r="B2837" i="5"/>
  <c r="B3290" i="5"/>
  <c r="B3171" i="5"/>
  <c r="B3398" i="5"/>
  <c r="B3448" i="5"/>
  <c r="B5476" i="5"/>
  <c r="B2391" i="5"/>
  <c r="B2451" i="5"/>
  <c r="B2926" i="5"/>
  <c r="B2334" i="5"/>
  <c r="B1959" i="5"/>
  <c r="B2871" i="5"/>
  <c r="B5289" i="5"/>
  <c r="B3289" i="5"/>
  <c r="B2207" i="5"/>
  <c r="B4378" i="5"/>
  <c r="B3743" i="5"/>
  <c r="B2435" i="5"/>
  <c r="B4109" i="5"/>
  <c r="B2996" i="5"/>
  <c r="B5386" i="5"/>
  <c r="B1475" i="5"/>
  <c r="B2903" i="5"/>
  <c r="B1376" i="5"/>
  <c r="B2156" i="5"/>
  <c r="B1972" i="5"/>
  <c r="B1109" i="5"/>
  <c r="B6410" i="5"/>
  <c r="B3186" i="5"/>
  <c r="B2409" i="5"/>
  <c r="B2957" i="5"/>
  <c r="B81" i="5"/>
  <c r="B2579" i="5"/>
  <c r="B2972" i="5"/>
  <c r="B6062" i="5"/>
  <c r="B4006" i="5"/>
  <c r="B4884" i="5"/>
  <c r="B1342" i="5"/>
  <c r="B6209" i="5"/>
  <c r="B6115" i="5"/>
  <c r="B6546" i="5"/>
  <c r="B4836" i="5"/>
  <c r="B2233" i="5"/>
  <c r="B727" i="5"/>
  <c r="B2107" i="5"/>
  <c r="B2184" i="5"/>
  <c r="B5780" i="5"/>
  <c r="B2358" i="5"/>
  <c r="B4922" i="5"/>
  <c r="B6130" i="5"/>
  <c r="B4610" i="5"/>
  <c r="B3098" i="5"/>
  <c r="B5895" i="5"/>
  <c r="B6562" i="5"/>
  <c r="B2363" i="5"/>
  <c r="B6090" i="5"/>
  <c r="B6460" i="5"/>
  <c r="B4917" i="5"/>
  <c r="B4592" i="5"/>
  <c r="B3454" i="5"/>
  <c r="B5737" i="5"/>
  <c r="B5454" i="5"/>
  <c r="B1951" i="5"/>
  <c r="B3193" i="5"/>
  <c r="B1269" i="5"/>
  <c r="B1190" i="5"/>
  <c r="B2291" i="5"/>
  <c r="B1776" i="5"/>
  <c r="B1612" i="5"/>
  <c r="B591" i="5"/>
  <c r="B3830" i="5"/>
  <c r="B1644" i="5"/>
  <c r="B3777" i="5"/>
  <c r="B1552" i="5"/>
  <c r="B4668" i="5"/>
  <c r="B2688" i="5"/>
  <c r="B1784" i="5"/>
  <c r="B4629" i="5"/>
  <c r="B3996" i="5"/>
  <c r="B3693" i="5"/>
  <c r="B4169" i="5"/>
  <c r="B5252" i="5"/>
  <c r="B711" i="5"/>
  <c r="B313" i="5"/>
  <c r="B546" i="5"/>
  <c r="B1080" i="5"/>
  <c r="B4085" i="5"/>
  <c r="B1610" i="5"/>
  <c r="B3152" i="5"/>
  <c r="B1203" i="5"/>
  <c r="B1020" i="5"/>
  <c r="B3174" i="5"/>
  <c r="B4422" i="5"/>
  <c r="B2147" i="5"/>
  <c r="B4606" i="5"/>
  <c r="B1011" i="5"/>
  <c r="B2890" i="5"/>
  <c r="B5380" i="5"/>
  <c r="B2810" i="5"/>
  <c r="B5512" i="5"/>
  <c r="B5966" i="5"/>
  <c r="B5483" i="5"/>
  <c r="B2979" i="5"/>
  <c r="B2834" i="5"/>
  <c r="B3220" i="5"/>
  <c r="B1993" i="5"/>
  <c r="B1124" i="5"/>
  <c r="B2281" i="5"/>
  <c r="B5563" i="5"/>
  <c r="B324" i="5"/>
  <c r="B1679" i="5"/>
  <c r="B2931" i="5"/>
  <c r="B1065" i="5"/>
  <c r="B4285" i="5"/>
  <c r="B6008" i="5"/>
  <c r="B1526" i="5"/>
  <c r="B3772" i="5"/>
  <c r="B4110" i="5"/>
  <c r="B6263" i="5"/>
  <c r="B1684" i="5"/>
  <c r="B3696" i="5"/>
  <c r="B3599" i="5"/>
  <c r="B6124" i="5"/>
  <c r="B2662" i="5"/>
  <c r="B457" i="5"/>
  <c r="B5507" i="5"/>
  <c r="B3318" i="5"/>
  <c r="B5186" i="5"/>
  <c r="B2205" i="5"/>
  <c r="B4292" i="5"/>
  <c r="B5167" i="5"/>
  <c r="B4813" i="5"/>
  <c r="B1601" i="5"/>
  <c r="B6347" i="5"/>
  <c r="B3905" i="5"/>
  <c r="B2883" i="5"/>
  <c r="B6453" i="5"/>
  <c r="B5666" i="5"/>
  <c r="B1942" i="5"/>
  <c r="B6401" i="5"/>
  <c r="B2235" i="5"/>
  <c r="B1854" i="5"/>
  <c r="B1549" i="5"/>
  <c r="B1934" i="5"/>
  <c r="B4005" i="5"/>
  <c r="B6208" i="5"/>
  <c r="B5887" i="5"/>
  <c r="B5625" i="5"/>
  <c r="B4891" i="5"/>
  <c r="B568" i="5"/>
  <c r="B3542" i="5"/>
  <c r="B2551" i="5"/>
  <c r="B662" i="5"/>
  <c r="B4742" i="5"/>
  <c r="B2675" i="5"/>
  <c r="B3924" i="5"/>
  <c r="B436" i="5"/>
  <c r="B1133" i="5"/>
  <c r="B2250" i="5"/>
  <c r="B1952" i="5"/>
  <c r="B4829" i="5"/>
  <c r="B2088" i="5"/>
  <c r="B3021" i="5"/>
  <c r="B3737" i="5"/>
  <c r="B1990" i="5"/>
  <c r="B2995" i="5"/>
  <c r="B1489" i="5"/>
  <c r="B3078" i="5"/>
  <c r="B3328" i="5"/>
  <c r="B3867" i="5"/>
  <c r="B5302" i="5"/>
  <c r="B2213" i="5"/>
  <c r="B1731" i="5"/>
  <c r="B2701" i="5"/>
  <c r="B1600" i="5"/>
  <c r="B6196" i="5"/>
  <c r="B4158" i="5"/>
  <c r="B5277" i="5"/>
  <c r="B5217" i="5"/>
  <c r="B798" i="5"/>
  <c r="B3609" i="5"/>
  <c r="B976" i="5"/>
  <c r="B4147" i="5"/>
  <c r="B904" i="5"/>
  <c r="B1409" i="5"/>
  <c r="B390" i="5"/>
  <c r="B5603" i="5"/>
  <c r="B5112" i="5"/>
  <c r="B2786" i="5"/>
  <c r="B4222" i="5"/>
  <c r="B6174" i="5"/>
  <c r="B3374" i="5"/>
  <c r="B6592" i="5"/>
  <c r="B551" i="5"/>
  <c r="B167" i="5"/>
  <c r="B1845" i="5"/>
  <c r="B287" i="5"/>
  <c r="B549" i="5"/>
  <c r="B1902" i="5"/>
  <c r="B812" i="5"/>
  <c r="B4477" i="5"/>
  <c r="B3802" i="5"/>
  <c r="B3163" i="5"/>
  <c r="B2054" i="5"/>
  <c r="B1479" i="5"/>
  <c r="B717" i="5"/>
  <c r="B3711" i="5"/>
  <c r="B600" i="5"/>
  <c r="B3567" i="5"/>
  <c r="B3586" i="5"/>
  <c r="B2718" i="5"/>
  <c r="B4057" i="5"/>
  <c r="B260" i="5"/>
  <c r="B1338" i="5"/>
  <c r="B1933" i="5"/>
  <c r="B1451" i="5"/>
  <c r="B2266" i="5"/>
  <c r="B5954" i="5"/>
  <c r="B1595" i="5"/>
  <c r="B5061" i="5"/>
  <c r="B1517" i="5"/>
  <c r="B2506" i="5"/>
  <c r="B2808" i="5"/>
  <c r="B2573" i="5"/>
  <c r="B2300" i="5"/>
  <c r="B4500" i="5"/>
  <c r="B2417" i="5"/>
  <c r="B6375" i="5"/>
  <c r="B6252" i="5"/>
  <c r="B4702" i="5"/>
  <c r="B5561" i="5"/>
  <c r="B2218" i="5"/>
  <c r="B4154" i="5"/>
  <c r="B6075" i="5"/>
  <c r="B6289" i="5"/>
  <c r="B2945" i="5"/>
  <c r="B3201" i="5"/>
  <c r="B2789" i="5"/>
  <c r="B5734" i="5"/>
  <c r="B4063" i="5"/>
  <c r="B5562" i="5"/>
  <c r="B6475" i="5"/>
  <c r="B5787" i="5"/>
  <c r="B3917" i="5"/>
  <c r="B3435" i="5"/>
  <c r="B3833" i="5"/>
  <c r="B2977" i="5"/>
  <c r="B3236" i="5"/>
  <c r="B3897" i="5"/>
  <c r="B6194" i="5"/>
  <c r="B6606" i="5"/>
  <c r="B3271" i="5"/>
  <c r="B3385" i="5"/>
  <c r="B4213" i="5"/>
  <c r="B4546" i="5"/>
  <c r="B5266" i="5"/>
  <c r="B5258" i="5"/>
  <c r="B6172" i="5"/>
  <c r="B6181" i="5"/>
  <c r="B5975" i="5"/>
  <c r="B3987" i="5"/>
  <c r="B5395" i="5"/>
  <c r="B5320" i="5"/>
  <c r="B4358" i="5"/>
  <c r="B3326" i="5"/>
  <c r="B3456" i="5"/>
  <c r="B2874" i="5"/>
  <c r="B2992" i="5"/>
  <c r="B3039" i="5"/>
  <c r="B5686" i="5"/>
  <c r="B5639" i="5"/>
  <c r="B5181" i="5"/>
  <c r="B5933" i="5"/>
  <c r="B4231" i="5"/>
  <c r="B4685" i="5"/>
  <c r="B4456" i="5"/>
  <c r="B5334" i="5"/>
  <c r="B4146" i="5"/>
  <c r="B3717" i="5"/>
  <c r="B6127" i="5"/>
  <c r="B5479" i="5"/>
  <c r="B5892" i="5"/>
  <c r="B5973" i="5"/>
  <c r="B3239" i="5"/>
  <c r="B6416" i="5"/>
  <c r="B4768" i="5"/>
  <c r="B4351" i="5"/>
  <c r="B4370" i="5"/>
  <c r="B4080" i="5"/>
  <c r="B6190" i="5"/>
  <c r="B4401" i="5"/>
  <c r="B4663" i="5"/>
  <c r="B3114" i="5"/>
  <c r="B5324" i="5"/>
  <c r="B100" i="5"/>
  <c r="B4011" i="5"/>
  <c r="B4312" i="5"/>
  <c r="B5703" i="5"/>
  <c r="B2924" i="5"/>
  <c r="B1728" i="5"/>
  <c r="B3265" i="5"/>
  <c r="B6429" i="5"/>
  <c r="B2978" i="5"/>
  <c r="B3012" i="5"/>
  <c r="B2459" i="5"/>
  <c r="B4368" i="5"/>
  <c r="B5375" i="5"/>
  <c r="B3464" i="5"/>
  <c r="B4909" i="5"/>
  <c r="B2690" i="5"/>
  <c r="B4273" i="5"/>
  <c r="B3205" i="5"/>
  <c r="B6389" i="5"/>
  <c r="B3251" i="5"/>
  <c r="B5434" i="5"/>
  <c r="B4088" i="5"/>
  <c r="B5035" i="5"/>
  <c r="B4089" i="5"/>
  <c r="B1948" i="5"/>
  <c r="B2726" i="5"/>
  <c r="B2179" i="5"/>
  <c r="B1849" i="5"/>
  <c r="B263" i="5"/>
  <c r="B4324" i="5"/>
  <c r="B1542" i="5"/>
  <c r="B1988" i="5"/>
  <c r="B3102" i="5"/>
  <c r="B3407" i="5"/>
  <c r="B3475" i="5"/>
  <c r="B3961" i="5"/>
  <c r="B94" i="5"/>
  <c r="B3395" i="5"/>
  <c r="B5817" i="5"/>
  <c r="B1801" i="5"/>
  <c r="B54" i="5"/>
  <c r="B2546" i="5"/>
  <c r="B2154" i="5"/>
  <c r="B2140" i="5"/>
  <c r="B3458" i="5"/>
  <c r="B2161" i="5"/>
  <c r="B1698" i="5"/>
  <c r="B5919" i="5"/>
  <c r="B3742" i="5"/>
  <c r="B1802" i="5"/>
  <c r="B5174" i="5"/>
  <c r="B607" i="5"/>
  <c r="B402" i="5"/>
  <c r="B424" i="5"/>
  <c r="B943" i="5"/>
  <c r="B3180" i="5"/>
  <c r="B5544" i="5"/>
  <c r="B3713" i="5"/>
  <c r="B4009" i="5"/>
  <c r="B5541" i="5"/>
  <c r="B92" i="5"/>
  <c r="B63" i="5"/>
  <c r="B121" i="5"/>
  <c r="B176" i="5"/>
  <c r="B62" i="5"/>
  <c r="B2243" i="5"/>
  <c r="B2582" i="5"/>
  <c r="B1158" i="5"/>
  <c r="B112" i="5"/>
  <c r="B5113" i="5"/>
  <c r="B3135" i="5"/>
  <c r="B3483" i="5"/>
  <c r="B5443" i="5"/>
  <c r="B6477" i="5"/>
  <c r="B3675" i="5"/>
  <c r="B4362" i="5"/>
  <c r="B69" i="5"/>
  <c r="B42" i="5"/>
  <c r="B55" i="5"/>
  <c r="B1322" i="5"/>
  <c r="B3366" i="5"/>
  <c r="B6512" i="5"/>
  <c r="B2265" i="5"/>
  <c r="B1891" i="5"/>
  <c r="B2555" i="5"/>
  <c r="B5052" i="5"/>
  <c r="B6205" i="5"/>
  <c r="B5154" i="5"/>
  <c r="B4801" i="5"/>
  <c r="B5316" i="5"/>
  <c r="B2636" i="5"/>
  <c r="B3192" i="5"/>
  <c r="B1627" i="5"/>
  <c r="B1567" i="5"/>
  <c r="B2026" i="5"/>
  <c r="B5659" i="5"/>
  <c r="B4887" i="5"/>
  <c r="B3072" i="5"/>
  <c r="B4911" i="5"/>
  <c r="B952" i="5"/>
  <c r="B2627" i="5"/>
  <c r="B1088" i="5"/>
  <c r="B1347" i="5"/>
  <c r="B4993" i="5"/>
  <c r="B3633" i="5"/>
  <c r="B604" i="5"/>
  <c r="B555" i="5"/>
  <c r="B5893" i="5"/>
  <c r="B3663" i="5"/>
  <c r="B5082" i="5"/>
  <c r="B303" i="5"/>
  <c r="B369" i="5"/>
  <c r="B192" i="5"/>
  <c r="B1445" i="5"/>
  <c r="B1191" i="5"/>
  <c r="B3334" i="5"/>
  <c r="B4152" i="5"/>
  <c r="B3459" i="5"/>
  <c r="B3295" i="5"/>
  <c r="B2804" i="5"/>
  <c r="B1648" i="5"/>
  <c r="B4726" i="5"/>
  <c r="B3719" i="5"/>
  <c r="B4767" i="5"/>
  <c r="B5696" i="5"/>
  <c r="B6454" i="5"/>
  <c r="B5151" i="5"/>
  <c r="B4833" i="5"/>
  <c r="B5723" i="5"/>
  <c r="B1126" i="5"/>
  <c r="B4751" i="5"/>
  <c r="B5083" i="5"/>
  <c r="B6073" i="5"/>
  <c r="B3514" i="5"/>
  <c r="B5778" i="5"/>
  <c r="B6459" i="5"/>
  <c r="B2071" i="5"/>
  <c r="B3535" i="5"/>
  <c r="B1423" i="5"/>
  <c r="B2204" i="5"/>
  <c r="B5358" i="5"/>
  <c r="B5221" i="5"/>
  <c r="B3551" i="5"/>
  <c r="B3280" i="5"/>
  <c r="B2571" i="5"/>
  <c r="B3495" i="5"/>
  <c r="B2811" i="5"/>
  <c r="B4439" i="5"/>
  <c r="B5036" i="5"/>
  <c r="B172" i="5"/>
  <c r="B1678" i="5"/>
  <c r="B6111" i="5"/>
  <c r="B6366" i="5"/>
  <c r="B5363" i="5"/>
  <c r="B1875" i="5"/>
  <c r="B583" i="5"/>
  <c r="B4426" i="5"/>
  <c r="B1890" i="5"/>
  <c r="B5314" i="5"/>
  <c r="B3513" i="5"/>
  <c r="B2007" i="5"/>
  <c r="B6251" i="5"/>
  <c r="B6272" i="5"/>
  <c r="B5851" i="5"/>
  <c r="B5672" i="5"/>
  <c r="B5308" i="5"/>
  <c r="B5830" i="5"/>
  <c r="B5419" i="5"/>
  <c r="B2405" i="5"/>
  <c r="B1671" i="5"/>
  <c r="B2524" i="5"/>
  <c r="B2190" i="5"/>
  <c r="B4541" i="5"/>
  <c r="B4441" i="5"/>
  <c r="B5049" i="5"/>
  <c r="B6020" i="5"/>
  <c r="B6030" i="5"/>
  <c r="B5137" i="5"/>
  <c r="B5702" i="5"/>
  <c r="B3406" i="5"/>
  <c r="B4968" i="5"/>
  <c r="B646" i="5"/>
  <c r="B916" i="5"/>
  <c r="B376" i="5"/>
  <c r="B3715" i="5"/>
  <c r="B2394" i="5"/>
  <c r="B4772" i="5"/>
  <c r="B5573" i="5"/>
  <c r="B4984" i="5"/>
  <c r="B3674" i="5"/>
  <c r="B5145" i="5"/>
  <c r="B438" i="5"/>
  <c r="B3386" i="5"/>
  <c r="B3250" i="5"/>
  <c r="B613" i="5"/>
  <c r="B74" i="5"/>
  <c r="B5271" i="5"/>
  <c r="B1235" i="5"/>
  <c r="B2316" i="5"/>
  <c r="B6315" i="5"/>
  <c r="B6424" i="5"/>
  <c r="B4099" i="5"/>
  <c r="B5955" i="5"/>
  <c r="B5763" i="5"/>
  <c r="B6282" i="5"/>
  <c r="B2738" i="5"/>
  <c r="B3387" i="5"/>
  <c r="B3111" i="5"/>
  <c r="B6093" i="5"/>
  <c r="B5072" i="5"/>
  <c r="B5860" i="5"/>
  <c r="B4597" i="5"/>
  <c r="B4798" i="5"/>
  <c r="B2374" i="5"/>
  <c r="B3808" i="5"/>
  <c r="B17" i="5"/>
  <c r="B4255" i="5"/>
  <c r="B3361" i="5"/>
  <c r="B3083" i="5"/>
  <c r="B1412" i="5"/>
  <c r="B3320" i="5"/>
  <c r="B1904" i="5"/>
  <c r="B1862" i="5"/>
  <c r="B781" i="5"/>
  <c r="B2955" i="5"/>
  <c r="B6234" i="5"/>
  <c r="B146" i="5"/>
  <c r="B211" i="5"/>
  <c r="B806" i="5"/>
  <c r="B3082" i="5"/>
  <c r="B3070" i="5"/>
  <c r="B379" i="5"/>
  <c r="B691" i="5"/>
  <c r="B3804" i="5"/>
  <c r="B941" i="5"/>
  <c r="B28" i="5"/>
  <c r="B3923" i="5"/>
  <c r="B1038" i="5"/>
  <c r="B5126" i="5"/>
  <c r="B3734" i="5"/>
  <c r="B3820" i="5"/>
  <c r="B4823" i="5"/>
  <c r="B1268" i="5"/>
  <c r="B5390" i="5"/>
  <c r="B2200" i="5"/>
  <c r="B4233" i="5"/>
  <c r="B811" i="5"/>
  <c r="B3688" i="5"/>
  <c r="B2689" i="5"/>
  <c r="B925" i="5"/>
  <c r="B1961" i="5"/>
  <c r="B2342" i="5"/>
  <c r="B4266" i="5"/>
  <c r="B3099" i="5"/>
  <c r="B2725" i="5"/>
  <c r="B732" i="5"/>
  <c r="B4948" i="5"/>
  <c r="B3585" i="5"/>
  <c r="B2340" i="5"/>
  <c r="B5699" i="5"/>
  <c r="B131" i="5"/>
  <c r="B1000" i="5"/>
  <c r="B1874" i="5"/>
  <c r="B2873" i="5"/>
  <c r="B2328" i="5"/>
  <c r="B755" i="5"/>
  <c r="B1893" i="5"/>
  <c r="B2618" i="5"/>
  <c r="B1225" i="5"/>
  <c r="B5612" i="5"/>
  <c r="B1914" i="5"/>
  <c r="B4228" i="5"/>
  <c r="B1941" i="5"/>
  <c r="B1815" i="5"/>
  <c r="B4916" i="5"/>
  <c r="B6063" i="5"/>
  <c r="B1288" i="5"/>
  <c r="B1367" i="5"/>
  <c r="B1439" i="5"/>
  <c r="B2822" i="5"/>
  <c r="B2613" i="5"/>
  <c r="B4808" i="5"/>
  <c r="B838" i="5"/>
  <c r="B4956" i="5"/>
  <c r="B2612" i="5"/>
  <c r="B4921" i="5"/>
  <c r="B2317" i="5"/>
  <c r="B19" i="5"/>
  <c r="B1296" i="5"/>
  <c r="B2319" i="5"/>
  <c r="B4458" i="5"/>
  <c r="B3639" i="5"/>
  <c r="B877" i="5"/>
  <c r="B3580" i="5"/>
  <c r="B6599" i="5"/>
  <c r="B4792" i="5"/>
  <c r="B2720" i="5"/>
  <c r="B3270" i="5"/>
  <c r="B3480" i="5"/>
  <c r="B2521" i="5"/>
  <c r="B4543" i="5"/>
  <c r="B6043" i="5"/>
  <c r="B1110" i="5"/>
  <c r="B2085" i="5"/>
  <c r="B3389" i="5"/>
  <c r="B33" i="5"/>
  <c r="B852" i="5"/>
  <c r="B3576" i="5"/>
  <c r="B4944" i="5"/>
  <c r="B2807" i="5"/>
  <c r="B5940" i="5"/>
  <c r="B3279" i="5"/>
  <c r="B2466" i="5"/>
  <c r="B1073" i="5"/>
  <c r="B1345" i="5"/>
  <c r="B790" i="5"/>
  <c r="B2813" i="5"/>
  <c r="B670" i="5"/>
  <c r="B1385" i="5"/>
  <c r="B990" i="5"/>
  <c r="B764" i="5"/>
  <c r="B1277" i="5"/>
  <c r="B3107" i="5"/>
  <c r="B3826" i="5"/>
  <c r="B4992" i="5"/>
  <c r="B4809" i="5"/>
  <c r="B4208" i="5"/>
  <c r="B3678" i="5"/>
  <c r="B5348" i="5"/>
  <c r="B6413" i="5"/>
  <c r="B4771" i="5"/>
  <c r="B3679" i="5"/>
  <c r="B3800" i="5"/>
  <c r="B5373" i="5"/>
  <c r="B5196" i="5"/>
  <c r="B3999" i="5"/>
  <c r="B3752" i="5"/>
  <c r="B3619" i="5"/>
  <c r="B6488" i="5"/>
  <c r="B3546" i="5"/>
  <c r="B3979" i="5"/>
  <c r="B5409" i="5"/>
  <c r="B3855" i="5"/>
  <c r="B5756" i="5"/>
  <c r="B5232" i="5"/>
  <c r="B4307" i="5"/>
  <c r="B5638" i="5"/>
  <c r="B5032" i="5"/>
  <c r="B3488" i="5"/>
  <c r="B3325" i="5"/>
  <c r="B6312" i="5"/>
  <c r="B1901" i="5"/>
  <c r="B2736" i="5"/>
  <c r="B4819" i="5"/>
  <c r="B3293" i="5"/>
  <c r="B3528" i="5"/>
  <c r="B3354" i="5"/>
  <c r="B5474" i="5"/>
  <c r="B5132" i="5"/>
  <c r="B1444" i="5"/>
  <c r="B1800" i="5"/>
  <c r="B2576" i="5"/>
  <c r="B3646" i="5"/>
  <c r="B2611" i="5"/>
  <c r="B739" i="5"/>
  <c r="B2450" i="5"/>
  <c r="B2512" i="5"/>
  <c r="B5740" i="5"/>
  <c r="B417" i="5"/>
  <c r="B4018" i="5"/>
  <c r="B5959" i="5"/>
  <c r="B2757" i="5"/>
  <c r="B2153" i="5"/>
  <c r="B1082" i="5"/>
  <c r="B733" i="5"/>
  <c r="B4176" i="5"/>
  <c r="B1911" i="5"/>
  <c r="B5171" i="5"/>
  <c r="B1974" i="5"/>
  <c r="B1960" i="5"/>
  <c r="B5205" i="5"/>
  <c r="B5125" i="5"/>
  <c r="B2538" i="5"/>
  <c r="B3874" i="5"/>
  <c r="B1842" i="5"/>
  <c r="B1746" i="5"/>
  <c r="B2913" i="5"/>
  <c r="B4431" i="5"/>
  <c r="B3590" i="5"/>
  <c r="B2870" i="5"/>
  <c r="B752" i="5"/>
  <c r="B443" i="5"/>
  <c r="B191" i="5"/>
  <c r="B695" i="5"/>
  <c r="B410" i="5"/>
  <c r="B1494" i="5"/>
  <c r="B1014" i="5"/>
  <c r="B453" i="5"/>
  <c r="B2763" i="5"/>
  <c r="B5329" i="5"/>
  <c r="B5762" i="5"/>
  <c r="B1909" i="5"/>
  <c r="B2803" i="5"/>
  <c r="B5547" i="5"/>
  <c r="B4227" i="5"/>
  <c r="B958" i="5"/>
  <c r="B4987" i="5"/>
  <c r="B5216" i="5"/>
  <c r="B4010" i="5"/>
  <c r="B5080" i="5"/>
  <c r="B267" i="5"/>
  <c r="B378" i="5"/>
  <c r="B2643" i="5"/>
  <c r="B1321" i="5"/>
  <c r="B2532" i="5"/>
  <c r="B2091" i="5"/>
  <c r="B1879" i="5"/>
  <c r="B2149" i="5"/>
  <c r="B5958" i="5"/>
  <c r="B2479" i="5"/>
  <c r="B2932" i="5"/>
  <c r="B780" i="5"/>
  <c r="B318" i="5"/>
  <c r="B3662" i="5"/>
  <c r="B4184" i="5"/>
  <c r="B4747" i="5"/>
  <c r="B1958" i="5"/>
  <c r="B4865" i="5"/>
  <c r="B1740" i="5"/>
  <c r="B760" i="5"/>
  <c r="B5183" i="5"/>
  <c r="B1853" i="5"/>
  <c r="B553" i="5"/>
  <c r="B5387" i="5"/>
  <c r="B3503" i="5"/>
  <c r="B5278" i="5"/>
  <c r="B4436" i="5"/>
  <c r="B4524" i="5"/>
  <c r="B1095" i="5"/>
  <c r="B4498" i="5"/>
  <c r="B2051" i="5"/>
  <c r="B1016" i="5"/>
  <c r="B5306" i="5"/>
  <c r="B5550" i="5"/>
  <c r="B4647" i="5"/>
  <c r="B535" i="5"/>
  <c r="B1295" i="5"/>
  <c r="B5241" i="5"/>
  <c r="B2227" i="5"/>
  <c r="B5981" i="5"/>
  <c r="B3009" i="5"/>
  <c r="B4127" i="5"/>
  <c r="B5471" i="5"/>
  <c r="B5450" i="5"/>
  <c r="B3592" i="5"/>
  <c r="B5606" i="5"/>
  <c r="B3967" i="5"/>
  <c r="B4347" i="5"/>
  <c r="B5084" i="5"/>
  <c r="B3466" i="5"/>
  <c r="B1226" i="5"/>
  <c r="B1677" i="5"/>
  <c r="B6032" i="5"/>
  <c r="B3792" i="5"/>
  <c r="B3020" i="5"/>
  <c r="B4485" i="5"/>
  <c r="B4462" i="5"/>
  <c r="B2486" i="5"/>
  <c r="B5394" i="5"/>
  <c r="B5051" i="5"/>
  <c r="B6147" i="5"/>
  <c r="B3453" i="5"/>
  <c r="B3825" i="5"/>
  <c r="B6609" i="5"/>
  <c r="B6594" i="5"/>
  <c r="B6604" i="5"/>
  <c r="B2843" i="5"/>
  <c r="B1820" i="5"/>
  <c r="B1097" i="5"/>
  <c r="B588" i="5"/>
  <c r="B3601" i="5"/>
  <c r="B4385" i="5"/>
  <c r="B4180" i="5"/>
  <c r="B2886" i="5"/>
  <c r="B2253" i="5"/>
  <c r="B2332" i="5"/>
  <c r="B910" i="5"/>
  <c r="B4905" i="5"/>
  <c r="B2496" i="5"/>
  <c r="B1575" i="5"/>
  <c r="B2660" i="5"/>
  <c r="B4202" i="5"/>
  <c r="B6168" i="5"/>
  <c r="B6036" i="5"/>
  <c r="B4711" i="5"/>
  <c r="B4855" i="5"/>
  <c r="B3438" i="5"/>
  <c r="B4732" i="5"/>
  <c r="B707" i="5"/>
  <c r="B2114" i="5"/>
  <c r="B2325" i="5"/>
  <c r="B2313" i="5"/>
  <c r="B1710" i="5"/>
  <c r="B821" i="5"/>
  <c r="B388" i="5"/>
  <c r="B305" i="5"/>
  <c r="B820" i="5"/>
  <c r="B970" i="5"/>
  <c r="B79" i="5"/>
  <c r="B637" i="5"/>
  <c r="B110" i="5"/>
  <c r="B135" i="5"/>
  <c r="B1636" i="5"/>
  <c r="B237" i="5"/>
  <c r="B950" i="5"/>
  <c r="B59" i="5"/>
  <c r="B173" i="5"/>
  <c r="B1492" i="5"/>
  <c r="B6018" i="5"/>
  <c r="B6354" i="5"/>
  <c r="B4578" i="5"/>
  <c r="B3242" i="5"/>
  <c r="B2410" i="5"/>
  <c r="B2841" i="5"/>
  <c r="B5990" i="5"/>
  <c r="B2990" i="5"/>
  <c r="B601" i="5"/>
  <c r="B6281" i="5"/>
  <c r="B1861" i="5"/>
  <c r="B4547" i="5"/>
  <c r="B2710" i="5"/>
  <c r="B4332" i="5"/>
  <c r="B3390" i="5"/>
  <c r="B1753" i="5"/>
  <c r="B1348" i="5"/>
  <c r="B1237" i="5"/>
  <c r="B2749" i="5"/>
  <c r="B2847" i="5"/>
  <c r="B506" i="5"/>
  <c r="B1624" i="5"/>
  <c r="B2348" i="5"/>
  <c r="B2429" i="5"/>
  <c r="B2353" i="5"/>
  <c r="B1935" i="5"/>
  <c r="B2246" i="5"/>
  <c r="B2585" i="5"/>
  <c r="B3469" i="5"/>
  <c r="B2239" i="5"/>
  <c r="B4137" i="5"/>
  <c r="B4290" i="5"/>
  <c r="B3926" i="5"/>
  <c r="B815" i="5"/>
  <c r="B1460" i="5"/>
  <c r="B973" i="5"/>
  <c r="B3235" i="5"/>
  <c r="B2975" i="5"/>
  <c r="B4794" i="5"/>
  <c r="B2484" i="5"/>
  <c r="B3269" i="5"/>
  <c r="B4489" i="5"/>
  <c r="B349" i="5"/>
  <c r="B6486" i="5"/>
  <c r="B193" i="5"/>
  <c r="B2237" i="5"/>
  <c r="B1432" i="5"/>
  <c r="B536" i="5"/>
  <c r="B3568" i="5"/>
  <c r="B4201" i="5"/>
  <c r="B719" i="5"/>
  <c r="B5865" i="5"/>
  <c r="B3151" i="5"/>
  <c r="B2416" i="5"/>
  <c r="B4281" i="5"/>
  <c r="B3216" i="5"/>
  <c r="B3785" i="5"/>
  <c r="B6608" i="5"/>
  <c r="B6610" i="5"/>
  <c r="B5201" i="5"/>
  <c r="B5816" i="5"/>
  <c r="B3554" i="5"/>
  <c r="B4651" i="5"/>
  <c r="B4731" i="5"/>
  <c r="B2851" i="5"/>
  <c r="B1443" i="5"/>
  <c r="B1021" i="5"/>
  <c r="B1632" i="5"/>
  <c r="B3906" i="5"/>
  <c r="B6119" i="5"/>
  <c r="B3427" i="5"/>
  <c r="B44" i="5"/>
  <c r="B35" i="5"/>
  <c r="B2076" i="5"/>
  <c r="B2127" i="5"/>
  <c r="B36" i="5"/>
  <c r="B708" i="5"/>
  <c r="B101" i="5"/>
  <c r="B3129" i="5"/>
  <c r="B3219" i="5"/>
  <c r="B3795" i="5"/>
  <c r="B987" i="5"/>
  <c r="B2563" i="5"/>
  <c r="B58" i="5"/>
  <c r="B85" i="5"/>
  <c r="B2462" i="5"/>
  <c r="B502" i="5"/>
  <c r="B2206" i="5"/>
  <c r="B4236" i="5"/>
  <c r="B461" i="5"/>
  <c r="B3774" i="5"/>
  <c r="B1061" i="5"/>
  <c r="B1171" i="5"/>
  <c r="B6004" i="5"/>
  <c r="B959" i="5"/>
  <c r="B1192" i="5"/>
  <c r="B2565" i="5"/>
  <c r="B1755" i="5"/>
  <c r="B1262" i="5"/>
  <c r="B3571" i="5"/>
  <c r="B3701" i="5"/>
  <c r="B4594" i="5"/>
  <c r="B2666" i="5"/>
  <c r="B2753" i="5"/>
  <c r="B5330" i="5"/>
  <c r="B4581" i="5"/>
  <c r="B5713" i="5"/>
  <c r="B2349" i="5"/>
  <c r="B4528" i="5"/>
  <c r="B3861" i="5"/>
  <c r="B3918" i="5"/>
  <c r="B6467" i="5"/>
  <c r="B1748" i="5"/>
  <c r="B2333" i="5"/>
  <c r="B1976" i="5"/>
  <c r="B967" i="5"/>
  <c r="B1260" i="5"/>
  <c r="B1206" i="5"/>
  <c r="B2231" i="5"/>
  <c r="B2021" i="5"/>
  <c r="B3375" i="5"/>
  <c r="B2070" i="5"/>
  <c r="B1520" i="5"/>
  <c r="B5455" i="5"/>
  <c r="B2941" i="5"/>
  <c r="B6220" i="5"/>
  <c r="B5027" i="5"/>
  <c r="B2314" i="5"/>
  <c r="B3006" i="5"/>
  <c r="B5667" i="5"/>
  <c r="B2816" i="5"/>
  <c r="B2378" i="5"/>
  <c r="B2835" i="5"/>
  <c r="B2104" i="5"/>
  <c r="B5918" i="5"/>
  <c r="B2094" i="5"/>
  <c r="B3847" i="5"/>
  <c r="B6218" i="5"/>
  <c r="B1531" i="5"/>
  <c r="B3596" i="5"/>
  <c r="B1279" i="5"/>
  <c r="B5010" i="5"/>
  <c r="B809" i="5"/>
  <c r="B409" i="5"/>
  <c r="B1265" i="5"/>
  <c r="B2003" i="5"/>
  <c r="B777" i="5"/>
  <c r="B5415" i="5"/>
  <c r="B1541" i="5"/>
  <c r="B6269" i="5"/>
  <c r="B5907" i="5"/>
  <c r="B2103" i="5"/>
  <c r="B1599" i="5"/>
  <c r="B4104" i="5"/>
  <c r="B2644" i="5"/>
  <c r="B864" i="5"/>
  <c r="B5143" i="5"/>
  <c r="B2866" i="5"/>
  <c r="B1328" i="5"/>
  <c r="B2065" i="5"/>
  <c r="B1919" i="5"/>
  <c r="B1916" i="5"/>
  <c r="B1629" i="5"/>
  <c r="B2877" i="5"/>
  <c r="B1839" i="5"/>
  <c r="B1539" i="5"/>
  <c r="B1263" i="5"/>
  <c r="B736" i="5"/>
  <c r="B1213" i="5"/>
  <c r="B2045" i="5"/>
  <c r="B5002" i="5"/>
  <c r="B3516" i="5"/>
  <c r="B1508" i="5"/>
  <c r="B3886" i="5"/>
  <c r="B3909" i="5"/>
  <c r="B1506" i="5"/>
  <c r="B1623" i="5"/>
  <c r="B3273" i="5"/>
  <c r="B1086" i="5"/>
  <c r="B3025" i="5"/>
  <c r="B1428" i="5"/>
  <c r="B4851" i="5"/>
  <c r="B5062" i="5"/>
  <c r="B2623" i="5"/>
  <c r="B1630" i="5"/>
  <c r="B661" i="5"/>
  <c r="B1139" i="5"/>
  <c r="B1319" i="5"/>
  <c r="B1739" i="5"/>
  <c r="B1973" i="5"/>
  <c r="B472" i="5"/>
  <c r="B2436" i="5"/>
  <c r="B1971" i="5"/>
  <c r="B2901" i="5"/>
  <c r="B1201" i="5"/>
  <c r="B2112" i="5"/>
  <c r="B2422" i="5"/>
  <c r="B2118" i="5"/>
  <c r="B5368" i="5"/>
  <c r="B5150" i="5"/>
  <c r="B636" i="5"/>
  <c r="B5412" i="5"/>
  <c r="B1323" i="5"/>
  <c r="B2368" i="5"/>
  <c r="B5765" i="5"/>
  <c r="B890" i="5"/>
  <c r="B406" i="5"/>
  <c r="B2892" i="5"/>
  <c r="B393" i="5"/>
  <c r="B517" i="5"/>
  <c r="B4410" i="5"/>
  <c r="B2215" i="5"/>
  <c r="B1689" i="5"/>
  <c r="B1744" i="5"/>
  <c r="B3121" i="5"/>
  <c r="B5490" i="5"/>
  <c r="B3598" i="5"/>
  <c r="B1979" i="5"/>
  <c r="B2030" i="5"/>
  <c r="B2603" i="5"/>
  <c r="B1872" i="5"/>
  <c r="B5017" i="5"/>
  <c r="B2905" i="5"/>
  <c r="B1830" i="5"/>
</calcChain>
</file>

<file path=xl/sharedStrings.xml><?xml version="1.0" encoding="utf-8"?>
<sst xmlns="http://schemas.openxmlformats.org/spreadsheetml/2006/main" count="6629" uniqueCount="16">
  <si>
    <t>Gene Set Name</t>
  </si>
  <si>
    <t>Group</t>
  </si>
  <si>
    <r>
      <t xml:space="preserve">FDR </t>
    </r>
    <r>
      <rPr>
        <b/>
        <i/>
        <sz val="11"/>
        <color theme="1"/>
        <rFont val="Calibri"/>
        <family val="2"/>
        <scheme val="minor"/>
      </rPr>
      <t>q</t>
    </r>
  </si>
  <si>
    <t>p</t>
  </si>
  <si>
    <t>NES</t>
  </si>
  <si>
    <t>M2 BioCarta pathway</t>
  </si>
  <si>
    <t>M5 GO Biological Process</t>
  </si>
  <si>
    <t>M5 GO Cellular Component</t>
  </si>
  <si>
    <t>M5 GO Molecular Function</t>
  </si>
  <si>
    <t>MH Hallmark</t>
  </si>
  <si>
    <t>M2 Reactome pathway</t>
  </si>
  <si>
    <t>M2 WikiPathways pathway</t>
  </si>
  <si>
    <t>ABT-263 vs DMSO</t>
  </si>
  <si>
    <t>Gene Set Size</t>
  </si>
  <si>
    <r>
      <t xml:space="preserve">This Excel file contains the MSigDB collection (column A), name and size (columns B-C), Normalized Enrichment Score (NES, column D), and nominal 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and FDR </t>
    </r>
    <r>
      <rPr>
        <i/>
        <sz val="12"/>
        <color theme="1"/>
        <rFont val="Times New Roman"/>
        <family val="1"/>
      </rPr>
      <t>q</t>
    </r>
    <r>
      <rPr>
        <sz val="12"/>
        <color theme="1"/>
        <rFont val="Times New Roman"/>
        <family val="1"/>
      </rPr>
      <t xml:space="preserve"> values (columns E-F) for each gene set (version 2023.2.Mm).</t>
    </r>
  </si>
  <si>
    <t>Supplementary Table 2. GSEA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</si>
</sst>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2" fontId="0" fillId="0" borderId="0" xfId="0" applyNumberFormat="1"/>
    <xf numFmtId="0" fontId="0" fillId="0" borderId="1" xfId="0" applyBorder="1"/>
    <xf numFmtId="0" fontId="2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6" fillId="0" borderId="0" xfId="0" applyFont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1"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F58A4-5F11-4072-A829-0A932E69F900}">
  <dimension ref="A1:F6624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23.28515625" bestFit="1" customWidth="1"/>
    <col min="2" max="2" width="96" style="5" customWidth="1"/>
    <col min="3" max="3" width="14.140625" style="4" bestFit="1" customWidth="1"/>
    <col min="4" max="4" width="6.28515625" style="3" bestFit="1" customWidth="1"/>
    <col min="5" max="5" width="6.42578125" style="1" customWidth="1"/>
    <col min="6" max="6" width="7.85546875" style="2" bestFit="1" customWidth="1"/>
  </cols>
  <sheetData>
    <row r="1" spans="1:6" ht="15.75" x14ac:dyDescent="0.25">
      <c r="A1" s="16" t="s">
        <v>15</v>
      </c>
    </row>
    <row r="2" spans="1:6" x14ac:dyDescent="0.25">
      <c r="B2" s="6"/>
      <c r="D2" s="14" t="s">
        <v>12</v>
      </c>
      <c r="E2" s="15"/>
      <c r="F2" s="15"/>
    </row>
    <row r="3" spans="1:6" x14ac:dyDescent="0.25">
      <c r="A3" s="7" t="s">
        <v>1</v>
      </c>
      <c r="B3" s="8" t="s">
        <v>0</v>
      </c>
      <c r="C3" s="9" t="s">
        <v>13</v>
      </c>
      <c r="D3" s="10" t="s">
        <v>4</v>
      </c>
      <c r="E3" s="11" t="s">
        <v>3</v>
      </c>
      <c r="F3" s="12" t="s">
        <v>2</v>
      </c>
    </row>
    <row r="4" spans="1:6" x14ac:dyDescent="0.25">
      <c r="A4" t="s">
        <v>9</v>
      </c>
      <c r="B4" s="5" t="str">
        <f>HYPERLINK("http://www.broadinstitute.org/gsea/msigdb/cards/HALLMARK_INTERFERON_GAMMA_RESPONSE.html","HALLMARK_INTERFERON_GAMMA_RESPONSE")</f>
        <v>HALLMARK_INTERFERON_GAMMA_RESPONSE</v>
      </c>
      <c r="C4" s="4">
        <v>187</v>
      </c>
      <c r="D4" s="3">
        <v>2.8829153000000001</v>
      </c>
      <c r="E4" s="1">
        <v>0</v>
      </c>
      <c r="F4" s="2">
        <v>0</v>
      </c>
    </row>
    <row r="5" spans="1:6" x14ac:dyDescent="0.25">
      <c r="A5" t="s">
        <v>9</v>
      </c>
      <c r="B5" s="5" t="str">
        <f>HYPERLINK("http://www.broadinstitute.org/gsea/msigdb/cards/HALLMARK_INFLAMMATORY_RESPONSE.html","HALLMARK_INFLAMMATORY_RESPONSE")</f>
        <v>HALLMARK_INFLAMMATORY_RESPONSE</v>
      </c>
      <c r="C5" s="4">
        <v>194</v>
      </c>
      <c r="D5" s="3">
        <v>2.8216269999999999</v>
      </c>
      <c r="E5" s="1">
        <v>0</v>
      </c>
      <c r="F5" s="2">
        <v>0</v>
      </c>
    </row>
    <row r="6" spans="1:6" x14ac:dyDescent="0.25">
      <c r="A6" t="s">
        <v>9</v>
      </c>
      <c r="B6" s="5" t="str">
        <f>HYPERLINK("http://www.broadinstitute.org/gsea/msigdb/cards/HALLMARK_TNFA_SIGNALING_VIA_NFKB.html","HALLMARK_TNFA_SIGNALING_VIA_NFKB")</f>
        <v>HALLMARK_TNFA_SIGNALING_VIA_NFKB</v>
      </c>
      <c r="C6" s="4">
        <v>195</v>
      </c>
      <c r="D6" s="3">
        <v>2.7720826000000001</v>
      </c>
      <c r="E6" s="1">
        <v>0</v>
      </c>
      <c r="F6" s="2">
        <v>0</v>
      </c>
    </row>
    <row r="7" spans="1:6" x14ac:dyDescent="0.25">
      <c r="A7" t="s">
        <v>6</v>
      </c>
      <c r="B7" s="5" t="str">
        <f>HYPERLINK("http://www.broadinstitute.org/gsea/msigdb/cards/GOBP_MYELOID_LEUKOCYTE_MIGRATION.html","GOBP_MYELOID_LEUKOCYTE_MIGRATION")</f>
        <v>GOBP_MYELOID_LEUKOCYTE_MIGRATION</v>
      </c>
      <c r="C7" s="4">
        <v>231</v>
      </c>
      <c r="D7" s="3">
        <v>2.7474197999999999</v>
      </c>
      <c r="E7" s="1">
        <v>0</v>
      </c>
      <c r="F7" s="2">
        <v>0</v>
      </c>
    </row>
    <row r="8" spans="1:6" x14ac:dyDescent="0.25">
      <c r="A8" t="s">
        <v>6</v>
      </c>
      <c r="B8" s="5" t="str">
        <f>HYPERLINK("http://www.broadinstitute.org/gsea/msigdb/cards/GOBP_LEUKOCYTE_CHEMOTAXIS.html","GOBP_LEUKOCYTE_CHEMOTAXIS")</f>
        <v>GOBP_LEUKOCYTE_CHEMOTAXIS</v>
      </c>
      <c r="C8" s="4">
        <v>223</v>
      </c>
      <c r="D8" s="3">
        <v>2.7052965000000002</v>
      </c>
      <c r="E8" s="1">
        <v>0</v>
      </c>
      <c r="F8" s="2">
        <v>0</v>
      </c>
    </row>
    <row r="9" spans="1:6" x14ac:dyDescent="0.25">
      <c r="A9" t="s">
        <v>9</v>
      </c>
      <c r="B9" s="5" t="str">
        <f>HYPERLINK("http://www.broadinstitute.org/gsea/msigdb/cards/HALLMARK_INTERFERON_ALPHA_RESPONSE.html","HALLMARK_INTERFERON_ALPHA_RESPONSE")</f>
        <v>HALLMARK_INTERFERON_ALPHA_RESPONSE</v>
      </c>
      <c r="C9" s="4">
        <v>93</v>
      </c>
      <c r="D9" s="3">
        <v>2.7027947999999999</v>
      </c>
      <c r="E9" s="1">
        <v>0</v>
      </c>
      <c r="F9" s="2">
        <v>0</v>
      </c>
    </row>
    <row r="10" spans="1:6" x14ac:dyDescent="0.25">
      <c r="A10" t="s">
        <v>6</v>
      </c>
      <c r="B10" s="5" t="str">
        <f>HYPERLINK("http://www.broadinstitute.org/gsea/msigdb/cards/GOBP_RESPONSE_TO_TYPE_II_INTERFERON.html","GOBP_RESPONSE_TO_TYPE_II_INTERFERON")</f>
        <v>GOBP_RESPONSE_TO_TYPE_II_INTERFERON</v>
      </c>
      <c r="C10" s="4">
        <v>138</v>
      </c>
      <c r="D10" s="3">
        <v>2.6964686000000002</v>
      </c>
      <c r="E10" s="1">
        <v>0</v>
      </c>
      <c r="F10" s="2">
        <v>0</v>
      </c>
    </row>
    <row r="11" spans="1:6" x14ac:dyDescent="0.25">
      <c r="A11" t="s">
        <v>6</v>
      </c>
      <c r="B11" s="5" t="str">
        <f>HYPERLINK("http://www.broadinstitute.org/gsea/msigdb/cards/GOBP_GRANULOCYTE_MIGRATION.html","GOBP_GRANULOCYTE_MIGRATION")</f>
        <v>GOBP_GRANULOCYTE_MIGRATION</v>
      </c>
      <c r="C11" s="4">
        <v>151</v>
      </c>
      <c r="D11" s="3">
        <v>2.6963322000000001</v>
      </c>
      <c r="E11" s="1">
        <v>0</v>
      </c>
      <c r="F11" s="2">
        <v>0</v>
      </c>
    </row>
    <row r="12" spans="1:6" x14ac:dyDescent="0.25">
      <c r="A12" t="s">
        <v>9</v>
      </c>
      <c r="B12" s="5" t="str">
        <f>HYPERLINK("http://www.broadinstitute.org/gsea/msigdb/cards/HALLMARK_IL6_JAK_STAT3_SIGNALING.html","HALLMARK_IL6_JAK_STAT3_SIGNALING")</f>
        <v>HALLMARK_IL6_JAK_STAT3_SIGNALING</v>
      </c>
      <c r="C12" s="4">
        <v>82</v>
      </c>
      <c r="D12" s="3">
        <v>2.6915010000000001</v>
      </c>
      <c r="E12" s="1">
        <v>0</v>
      </c>
      <c r="F12" s="2">
        <v>0</v>
      </c>
    </row>
    <row r="13" spans="1:6" x14ac:dyDescent="0.25">
      <c r="A13" t="s">
        <v>6</v>
      </c>
      <c r="B13" s="5" t="str">
        <f>HYPERLINK("http://www.broadinstitute.org/gsea/msigdb/cards/GOBP_REGULATION_OF_LEUKOCYTE_MIGRATION.html","GOBP_REGULATION_OF_LEUKOCYTE_MIGRATION")</f>
        <v>GOBP_REGULATION_OF_LEUKOCYTE_MIGRATION</v>
      </c>
      <c r="C13" s="4">
        <v>233</v>
      </c>
      <c r="D13" s="3">
        <v>2.6799352000000001</v>
      </c>
      <c r="E13" s="1">
        <v>0</v>
      </c>
      <c r="F13" s="2">
        <v>0</v>
      </c>
    </row>
    <row r="14" spans="1:6" x14ac:dyDescent="0.25">
      <c r="A14" t="s">
        <v>6</v>
      </c>
      <c r="B14" s="5" t="str">
        <f>HYPERLINK("http://www.broadinstitute.org/gsea/msigdb/cards/GOBP_LEUKOCYTE_MIGRATION.html","GOBP_LEUKOCYTE_MIGRATION")</f>
        <v>GOBP_LEUKOCYTE_MIGRATION</v>
      </c>
      <c r="C14" s="4">
        <v>373</v>
      </c>
      <c r="D14" s="3">
        <v>2.6688812</v>
      </c>
      <c r="E14" s="1">
        <v>0</v>
      </c>
      <c r="F14" s="2">
        <v>0</v>
      </c>
    </row>
    <row r="15" spans="1:6" x14ac:dyDescent="0.25">
      <c r="A15" t="s">
        <v>6</v>
      </c>
      <c r="B15" s="5" t="str">
        <f>HYPERLINK("http://www.broadinstitute.org/gsea/msigdb/cards/GOBP_NEUTROPHIL_MIGRATION.html","GOBP_NEUTROPHIL_MIGRATION")</f>
        <v>GOBP_NEUTROPHIL_MIGRATION</v>
      </c>
      <c r="C15" s="4">
        <v>123</v>
      </c>
      <c r="D15" s="3">
        <v>2.6613646000000002</v>
      </c>
      <c r="E15" s="1">
        <v>0</v>
      </c>
      <c r="F15" s="2">
        <v>0</v>
      </c>
    </row>
    <row r="16" spans="1:6" x14ac:dyDescent="0.25">
      <c r="A16" t="s">
        <v>9</v>
      </c>
      <c r="B16" s="5" t="str">
        <f>HYPERLINK("http://www.broadinstitute.org/gsea/msigdb/cards/HALLMARK_ALLOGRAFT_REJECTION.html","HALLMARK_ALLOGRAFT_REJECTION")</f>
        <v>HALLMARK_ALLOGRAFT_REJECTION</v>
      </c>
      <c r="C16" s="4">
        <v>188</v>
      </c>
      <c r="D16" s="3">
        <v>2.6380064000000001</v>
      </c>
      <c r="E16" s="1">
        <v>0</v>
      </c>
      <c r="F16" s="2">
        <v>0</v>
      </c>
    </row>
    <row r="17" spans="1:6" x14ac:dyDescent="0.25">
      <c r="A17" t="s">
        <v>6</v>
      </c>
      <c r="B17" s="5" t="str">
        <f>HYPERLINK("http://www.broadinstitute.org/gsea/msigdb/cards/GOBP_CELL_CHEMOTAXIS.html","GOBP_CELL_CHEMOTAXIS")</f>
        <v>GOBP_CELL_CHEMOTAXIS</v>
      </c>
      <c r="C17" s="4">
        <v>307</v>
      </c>
      <c r="D17" s="3">
        <v>2.6144609999999999</v>
      </c>
      <c r="E17" s="1">
        <v>0</v>
      </c>
      <c r="F17" s="2">
        <v>0</v>
      </c>
    </row>
    <row r="18" spans="1:6" x14ac:dyDescent="0.25">
      <c r="A18" t="s">
        <v>11</v>
      </c>
      <c r="B18" s="5" t="str">
        <f>HYPERLINK("http://www.broadinstitute.org/gsea/msigdb/cards/WP_TYROBP_CAUSAL_NETWORK_IN_MICROGLIA.html","WP_TYROBP_CAUSAL_NETWORK_IN_MICROGLIA")</f>
        <v>WP_TYROBP_CAUSAL_NETWORK_IN_MICROGLIA</v>
      </c>
      <c r="C18" s="4">
        <v>57</v>
      </c>
      <c r="D18" s="3">
        <v>2.6117910000000002</v>
      </c>
      <c r="E18" s="1">
        <v>0</v>
      </c>
      <c r="F18" s="2">
        <v>0</v>
      </c>
    </row>
    <row r="19" spans="1:6" x14ac:dyDescent="0.25">
      <c r="A19" t="s">
        <v>6</v>
      </c>
      <c r="B19" s="5" t="str">
        <f>HYPERLINK("http://www.broadinstitute.org/gsea/msigdb/cards/GOBP_CELLULAR_RESPONSE_TO_BIOTIC_STIMULUS.html","GOBP_CELLULAR_RESPONSE_TO_BIOTIC_STIMULUS")</f>
        <v>GOBP_CELLULAR_RESPONSE_TO_BIOTIC_STIMULUS</v>
      </c>
      <c r="C19" s="4">
        <v>226</v>
      </c>
      <c r="D19" s="3">
        <v>2.6062050000000001</v>
      </c>
      <c r="E19" s="1">
        <v>0</v>
      </c>
      <c r="F19" s="2">
        <v>0</v>
      </c>
    </row>
    <row r="20" spans="1:6" x14ac:dyDescent="0.25">
      <c r="A20" t="s">
        <v>6</v>
      </c>
      <c r="B20" s="5" t="str">
        <f>HYPERLINK("http://www.broadinstitute.org/gsea/msigdb/cards/GOBP_PHAGOCYTOSIS.html","GOBP_PHAGOCYTOSIS")</f>
        <v>GOBP_PHAGOCYTOSIS</v>
      </c>
      <c r="C20" s="4">
        <v>225</v>
      </c>
      <c r="D20" s="3">
        <v>2.5999374</v>
      </c>
      <c r="E20" s="1">
        <v>0</v>
      </c>
      <c r="F20" s="2">
        <v>0</v>
      </c>
    </row>
    <row r="21" spans="1:6" x14ac:dyDescent="0.25">
      <c r="A21" t="s">
        <v>6</v>
      </c>
      <c r="B21" s="5" t="str">
        <f>HYPERLINK("http://www.broadinstitute.org/gsea/msigdb/cards/GOBP_GRANULOCYTE_CHEMOTAXIS.html","GOBP_GRANULOCYTE_CHEMOTAXIS")</f>
        <v>GOBP_GRANULOCYTE_CHEMOTAXIS</v>
      </c>
      <c r="C21" s="4">
        <v>123</v>
      </c>
      <c r="D21" s="3">
        <v>2.5963414</v>
      </c>
      <c r="E21" s="1">
        <v>0</v>
      </c>
      <c r="F21" s="2">
        <v>0</v>
      </c>
    </row>
    <row r="22" spans="1:6" x14ac:dyDescent="0.25">
      <c r="A22" t="s">
        <v>6</v>
      </c>
      <c r="B22" s="5" t="str">
        <f>HYPERLINK("http://www.broadinstitute.org/gsea/msigdb/cards/GOBP_POSITIVE_REGULATION_OF_LEUKOCYTE_MIGRATION.html","GOBP_POSITIVE_REGULATION_OF_LEUKOCYTE_MIGRATION")</f>
        <v>GOBP_POSITIVE_REGULATION_OF_LEUKOCYTE_MIGRATION</v>
      </c>
      <c r="C22" s="4">
        <v>161</v>
      </c>
      <c r="D22" s="3">
        <v>2.5782356000000002</v>
      </c>
      <c r="E22" s="1">
        <v>0</v>
      </c>
      <c r="F22" s="2">
        <v>0</v>
      </c>
    </row>
    <row r="23" spans="1:6" x14ac:dyDescent="0.25">
      <c r="A23" t="s">
        <v>6</v>
      </c>
      <c r="B23" s="5" t="str">
        <f>HYPERLINK("http://www.broadinstitute.org/gsea/msigdb/cards/GOBP_RESPONSE_TO_MOLECULE_OF_BACTERIAL_ORIGIN.html","GOBP_RESPONSE_TO_MOLECULE_OF_BACTERIAL_ORIGIN")</f>
        <v>GOBP_RESPONSE_TO_MOLECULE_OF_BACTERIAL_ORIGIN</v>
      </c>
      <c r="C23" s="4">
        <v>296</v>
      </c>
      <c r="D23" s="3">
        <v>2.5421562</v>
      </c>
      <c r="E23" s="1">
        <v>0</v>
      </c>
      <c r="F23" s="2">
        <v>0</v>
      </c>
    </row>
    <row r="24" spans="1:6" x14ac:dyDescent="0.25">
      <c r="A24" t="s">
        <v>6</v>
      </c>
      <c r="B24" s="5" t="str">
        <f>HYPERLINK("http://www.broadinstitute.org/gsea/msigdb/cards/GOBP_NEUTROPHIL_CHEMOTAXIS.html","GOBP_NEUTROPHIL_CHEMOTAXIS")</f>
        <v>GOBP_NEUTROPHIL_CHEMOTAXIS</v>
      </c>
      <c r="C24" s="4">
        <v>98</v>
      </c>
      <c r="D24" s="3">
        <v>2.5234426999999999</v>
      </c>
      <c r="E24" s="1">
        <v>0</v>
      </c>
      <c r="F24" s="2">
        <v>0</v>
      </c>
    </row>
    <row r="25" spans="1:6" x14ac:dyDescent="0.25">
      <c r="A25" t="s">
        <v>6</v>
      </c>
      <c r="B25" s="5" t="str">
        <f>HYPERLINK("http://www.broadinstitute.org/gsea/msigdb/cards/GOBP_REGULATION_OF_NEUTROPHIL_MIGRATION.html","GOBP_REGULATION_OF_NEUTROPHIL_MIGRATION")</f>
        <v>GOBP_REGULATION_OF_NEUTROPHIL_MIGRATION</v>
      </c>
      <c r="C25" s="4">
        <v>51</v>
      </c>
      <c r="D25" s="3">
        <v>2.5134534999999998</v>
      </c>
      <c r="E25" s="1">
        <v>0</v>
      </c>
      <c r="F25" s="2">
        <v>0</v>
      </c>
    </row>
    <row r="26" spans="1:6" x14ac:dyDescent="0.25">
      <c r="A26" t="s">
        <v>6</v>
      </c>
      <c r="B26" s="5" t="str">
        <f>HYPERLINK("http://www.broadinstitute.org/gsea/msigdb/cards/GOBP_POSITIVE_REGULATION_OF_PHAGOCYTOSIS.html","GOBP_POSITIVE_REGULATION_OF_PHAGOCYTOSIS")</f>
        <v>GOBP_POSITIVE_REGULATION_OF_PHAGOCYTOSIS</v>
      </c>
      <c r="C26" s="4">
        <v>82</v>
      </c>
      <c r="D26" s="3">
        <v>2.5117712000000001</v>
      </c>
      <c r="E26" s="1">
        <v>0</v>
      </c>
      <c r="F26" s="2">
        <v>0</v>
      </c>
    </row>
    <row r="27" spans="1:6" x14ac:dyDescent="0.25">
      <c r="A27" t="s">
        <v>6</v>
      </c>
      <c r="B27" s="5" t="str">
        <f>HYPERLINK("http://www.broadinstitute.org/gsea/msigdb/cards/GOBP_REGULATION_OF_PHAGOCYTOSIS.html","GOBP_REGULATION_OF_PHAGOCYTOSIS")</f>
        <v>GOBP_REGULATION_OF_PHAGOCYTOSIS</v>
      </c>
      <c r="C27" s="4">
        <v>116</v>
      </c>
      <c r="D27" s="3">
        <v>2.5076337</v>
      </c>
      <c r="E27" s="1">
        <v>0</v>
      </c>
      <c r="F27" s="2">
        <v>0</v>
      </c>
    </row>
    <row r="28" spans="1:6" x14ac:dyDescent="0.25">
      <c r="A28" t="s">
        <v>6</v>
      </c>
      <c r="B28" s="5" t="str">
        <f>HYPERLINK("http://www.broadinstitute.org/gsea/msigdb/cards/GOBP_CELLULAR_RESPONSE_TO_TYPE_II_INTERFERON.html","GOBP_CELLULAR_RESPONSE_TO_TYPE_II_INTERFERON")</f>
        <v>GOBP_CELLULAR_RESPONSE_TO_TYPE_II_INTERFERON</v>
      </c>
      <c r="C28" s="4">
        <v>112</v>
      </c>
      <c r="D28" s="3">
        <v>2.5061420000000001</v>
      </c>
      <c r="E28" s="1">
        <v>0</v>
      </c>
      <c r="F28" s="2">
        <v>0</v>
      </c>
    </row>
    <row r="29" spans="1:6" x14ac:dyDescent="0.25">
      <c r="A29" t="s">
        <v>10</v>
      </c>
      <c r="B29" s="5" t="str">
        <f>HYPERLINK("http://www.broadinstitute.org/gsea/msigdb/cards/REACTOME_IMMUNOREGULATORY_INTERACTIONS_BETWEEN_A_LYMPHOID_AND_A_NON_LYMPHOID_CELL.html","REACTOME_IMMUNOREGULATORY_INTERACTIONS_BETWEEN_A_LYMPHOID_AND_A_NON_LYMPHOID_CELL")</f>
        <v>REACTOME_IMMUNOREGULATORY_INTERACTIONS_BETWEEN_A_LYMPHOID_AND_A_NON_LYMPHOID_CELL</v>
      </c>
      <c r="C29" s="4">
        <v>95</v>
      </c>
      <c r="D29" s="3">
        <v>2.4980813999999998</v>
      </c>
      <c r="E29" s="1">
        <v>0</v>
      </c>
      <c r="F29" s="2">
        <v>0</v>
      </c>
    </row>
    <row r="30" spans="1:6" x14ac:dyDescent="0.25">
      <c r="A30" t="s">
        <v>6</v>
      </c>
      <c r="B30" s="5" t="str">
        <f>HYPERLINK("http://www.broadinstitute.org/gsea/msigdb/cards/GOBP_REGULATION_OF_IMMUNE_EFFECTOR_PROCESS.html","GOBP_REGULATION_OF_IMMUNE_EFFECTOR_PROCESS")</f>
        <v>GOBP_REGULATION_OF_IMMUNE_EFFECTOR_PROCESS</v>
      </c>
      <c r="C30" s="4">
        <v>414</v>
      </c>
      <c r="D30" s="3">
        <v>2.4948424999999999</v>
      </c>
      <c r="E30" s="1">
        <v>0</v>
      </c>
      <c r="F30" s="2">
        <v>0</v>
      </c>
    </row>
    <row r="31" spans="1:6" x14ac:dyDescent="0.25">
      <c r="A31" t="s">
        <v>9</v>
      </c>
      <c r="B31" s="5" t="str">
        <f>HYPERLINK("http://www.broadinstitute.org/gsea/msigdb/cards/HALLMARK_COMPLEMENT.html","HALLMARK_COMPLEMENT")</f>
        <v>HALLMARK_COMPLEMENT</v>
      </c>
      <c r="C31" s="4">
        <v>185</v>
      </c>
      <c r="D31" s="3">
        <v>2.4942044999999999</v>
      </c>
      <c r="E31" s="1">
        <v>0</v>
      </c>
      <c r="F31" s="2">
        <v>0</v>
      </c>
    </row>
    <row r="32" spans="1:6" x14ac:dyDescent="0.25">
      <c r="A32" t="s">
        <v>7</v>
      </c>
      <c r="B32" s="5" t="str">
        <f>HYPERLINK("http://www.broadinstitute.org/gsea/msigdb/cards/GOCC_EXTERNAL_SIDE_OF_PLASMA_MEMBRANE.html","GOCC_EXTERNAL_SIDE_OF_PLASMA_MEMBRANE")</f>
        <v>GOCC_EXTERNAL_SIDE_OF_PLASMA_MEMBRANE</v>
      </c>
      <c r="C32" s="4">
        <v>463</v>
      </c>
      <c r="D32" s="3">
        <v>2.493862</v>
      </c>
      <c r="E32" s="1">
        <v>0</v>
      </c>
      <c r="F32" s="2">
        <v>0</v>
      </c>
    </row>
    <row r="33" spans="1:6" x14ac:dyDescent="0.25">
      <c r="A33" t="s">
        <v>6</v>
      </c>
      <c r="B33" s="5" t="str">
        <f>HYPERLINK("http://www.broadinstitute.org/gsea/msigdb/cards/GOBP_CELLULAR_EXTRAVASATION.html","GOBP_CELLULAR_EXTRAVASATION")</f>
        <v>GOBP_CELLULAR_EXTRAVASATION</v>
      </c>
      <c r="C33" s="4">
        <v>76</v>
      </c>
      <c r="D33" s="3">
        <v>2.492607</v>
      </c>
      <c r="E33" s="1">
        <v>0</v>
      </c>
      <c r="F33" s="2">
        <v>0</v>
      </c>
    </row>
    <row r="34" spans="1:6" x14ac:dyDescent="0.25">
      <c r="A34" t="s">
        <v>6</v>
      </c>
      <c r="B34" s="5" t="str">
        <f>HYPERLINK("http://www.broadinstitute.org/gsea/msigdb/cards/GOBP_MONONUCLEAR_CELL_MIGRATION.html","GOBP_MONONUCLEAR_CELL_MIGRATION")</f>
        <v>GOBP_MONONUCLEAR_CELL_MIGRATION</v>
      </c>
      <c r="C34" s="4">
        <v>181</v>
      </c>
      <c r="D34" s="3">
        <v>2.4922713999999999</v>
      </c>
      <c r="E34" s="1">
        <v>0</v>
      </c>
      <c r="F34" s="2">
        <v>0</v>
      </c>
    </row>
    <row r="35" spans="1:6" x14ac:dyDescent="0.25">
      <c r="A35" t="s">
        <v>6</v>
      </c>
      <c r="B35" s="5" t="str">
        <f>HYPERLINK("http://www.broadinstitute.org/gsea/msigdb/cards/GOBP_ADAPTIVE_IMMUNE_RESPONSE.html","GOBP_ADAPTIVE_IMMUNE_RESPONSE")</f>
        <v>GOBP_ADAPTIVE_IMMUNE_RESPONSE</v>
      </c>
      <c r="C35" s="4">
        <v>446</v>
      </c>
      <c r="D35" s="3">
        <v>2.4890555999999999</v>
      </c>
      <c r="E35" s="1">
        <v>0</v>
      </c>
      <c r="F35" s="2">
        <v>0</v>
      </c>
    </row>
    <row r="36" spans="1:6" x14ac:dyDescent="0.25">
      <c r="A36" t="s">
        <v>6</v>
      </c>
      <c r="B36" s="5" t="str">
        <f>HYPERLINK("http://www.broadinstitute.org/gsea/msigdb/cards/GOBP_ACUTE_PHASE_RESPONSE.html","GOBP_ACUTE_PHASE_RESPONSE")</f>
        <v>GOBP_ACUTE_PHASE_RESPONSE</v>
      </c>
      <c r="C36" s="4">
        <v>39</v>
      </c>
      <c r="D36" s="3">
        <v>2.4889443</v>
      </c>
      <c r="E36" s="1">
        <v>0</v>
      </c>
      <c r="F36" s="2">
        <v>0</v>
      </c>
    </row>
    <row r="37" spans="1:6" x14ac:dyDescent="0.25">
      <c r="A37" t="s">
        <v>6</v>
      </c>
      <c r="B37" s="5" t="str">
        <f>HYPERLINK("http://www.broadinstitute.org/gsea/msigdb/cards/GOBP_INTEGRIN_MEDIATED_SIGNALING_PATHWAY.html","GOBP_INTEGRIN_MEDIATED_SIGNALING_PATHWAY")</f>
        <v>GOBP_INTEGRIN_MEDIATED_SIGNALING_PATHWAY</v>
      </c>
      <c r="C37" s="4">
        <v>99</v>
      </c>
      <c r="D37" s="3">
        <v>2.4826554999999999</v>
      </c>
      <c r="E37" s="1">
        <v>0</v>
      </c>
      <c r="F37" s="2">
        <v>0</v>
      </c>
    </row>
    <row r="38" spans="1:6" x14ac:dyDescent="0.25">
      <c r="A38" t="s">
        <v>6</v>
      </c>
      <c r="B38" s="5" t="str">
        <f>HYPERLINK("http://www.broadinstitute.org/gsea/msigdb/cards/GOBP_RESPONSE_TO_INTERFERON_BETA.html","GOBP_RESPONSE_TO_INTERFERON_BETA")</f>
        <v>GOBP_RESPONSE_TO_INTERFERON_BETA</v>
      </c>
      <c r="C38" s="4">
        <v>67</v>
      </c>
      <c r="D38" s="3">
        <v>2.4812495999999999</v>
      </c>
      <c r="E38" s="1">
        <v>0</v>
      </c>
      <c r="F38" s="2">
        <v>0</v>
      </c>
    </row>
    <row r="39" spans="1:6" x14ac:dyDescent="0.25">
      <c r="A39" t="s">
        <v>10</v>
      </c>
      <c r="B39" s="5" t="str">
        <f>HYPERLINK("http://www.broadinstitute.org/gsea/msigdb/cards/REACTOME_CELL_SURFACE_INTERACTIONS_AT_THE_VASCULAR_WALL.html","REACTOME_CELL_SURFACE_INTERACTIONS_AT_THE_VASCULAR_WALL")</f>
        <v>REACTOME_CELL_SURFACE_INTERACTIONS_AT_THE_VASCULAR_WALL</v>
      </c>
      <c r="C39" s="4">
        <v>95</v>
      </c>
      <c r="D39" s="3">
        <v>2.4794870000000002</v>
      </c>
      <c r="E39" s="1">
        <v>0</v>
      </c>
      <c r="F39" s="2">
        <v>0</v>
      </c>
    </row>
    <row r="40" spans="1:6" x14ac:dyDescent="0.25">
      <c r="A40" t="s">
        <v>9</v>
      </c>
      <c r="B40" s="5" t="str">
        <f>HYPERLINK("http://www.broadinstitute.org/gsea/msigdb/cards/HALLMARK_COAGULATION.html","HALLMARK_COAGULATION")</f>
        <v>HALLMARK_COAGULATION</v>
      </c>
      <c r="C40" s="4">
        <v>131</v>
      </c>
      <c r="D40" s="3">
        <v>2.4747485999999999</v>
      </c>
      <c r="E40" s="1">
        <v>0</v>
      </c>
      <c r="F40" s="2">
        <v>0</v>
      </c>
    </row>
    <row r="41" spans="1:6" x14ac:dyDescent="0.25">
      <c r="A41" t="s">
        <v>6</v>
      </c>
      <c r="B41" s="5" t="str">
        <f>HYPERLINK("http://www.broadinstitute.org/gsea/msigdb/cards/GOBP_POSITIVE_REGULATION_OF_RESPONSE_TO_BIOTIC_STIMULUS.html","GOBP_POSITIVE_REGULATION_OF_RESPONSE_TO_BIOTIC_STIMULUS")</f>
        <v>GOBP_POSITIVE_REGULATION_OF_RESPONSE_TO_BIOTIC_STIMULUS</v>
      </c>
      <c r="C41" s="4">
        <v>380</v>
      </c>
      <c r="D41" s="3">
        <v>2.4742190000000002</v>
      </c>
      <c r="E41" s="1">
        <v>0</v>
      </c>
      <c r="F41" s="2">
        <v>0</v>
      </c>
    </row>
    <row r="42" spans="1:6" x14ac:dyDescent="0.25">
      <c r="A42" t="s">
        <v>6</v>
      </c>
      <c r="B42" s="5" t="str">
        <f>HYPERLINK("http://www.broadinstitute.org/gsea/msigdb/cards/GOBP_CYTOKINE_PRODUCTION_INVOLVED_IN_IMMUNE_RESPONSE.html","GOBP_CYTOKINE_PRODUCTION_INVOLVED_IN_IMMUNE_RESPONSE")</f>
        <v>GOBP_CYTOKINE_PRODUCTION_INVOLVED_IN_IMMUNE_RESPONSE</v>
      </c>
      <c r="C42" s="4">
        <v>161</v>
      </c>
      <c r="D42" s="3">
        <v>2.4704193999999999</v>
      </c>
      <c r="E42" s="1">
        <v>0</v>
      </c>
      <c r="F42" s="2">
        <v>0</v>
      </c>
    </row>
    <row r="43" spans="1:6" x14ac:dyDescent="0.25">
      <c r="A43" t="s">
        <v>6</v>
      </c>
      <c r="B43" s="5" t="str">
        <f>HYPERLINK("http://www.broadinstitute.org/gsea/msigdb/cards/GOBP_POSITIVE_REGULATION_OF_DEFENSE_RESPONSE.html","GOBP_POSITIVE_REGULATION_OF_DEFENSE_RESPONSE")</f>
        <v>GOBP_POSITIVE_REGULATION_OF_DEFENSE_RESPONSE</v>
      </c>
      <c r="C43" s="4">
        <v>478</v>
      </c>
      <c r="D43" s="3">
        <v>2.4647071</v>
      </c>
      <c r="E43" s="1">
        <v>0</v>
      </c>
      <c r="F43" s="2">
        <v>0</v>
      </c>
    </row>
    <row r="44" spans="1:6" x14ac:dyDescent="0.25">
      <c r="A44" t="s">
        <v>6</v>
      </c>
      <c r="B44" s="5" t="str">
        <f>HYPERLINK("http://www.broadinstitute.org/gsea/msigdb/cards/GOBP_ADAPTIVE_IMMUNE_RESPONSE_BASED_ON_SOMATIC_RECOMBINATION_OF_IMMUNE_RECEPTORS_BUILT_FROM_IMMUNOGLOBULIN_SUPERFAMILY_DOMAINS.html","GOBP_ADAPTIVE_IMMUNE_RESPONSE_BASED_ON_SOMATIC_RECOMBINATION_OF_IMMUNE_RECEPTORS_BUILT_FROM_IMMUNOGLOBULIN_SUPERFAMILY_DOMAINS")</f>
        <v>GOBP_ADAPTIVE_IMMUNE_RESPONSE_BASED_ON_SOMATIC_RECOMBINATION_OF_IMMUNE_RECEPTORS_BUILT_FROM_IMMUNOGLOBULIN_SUPERFAMILY_DOMAINS</v>
      </c>
      <c r="C44" s="4">
        <v>329</v>
      </c>
      <c r="D44" s="3">
        <v>2.4629352</v>
      </c>
      <c r="E44" s="1">
        <v>0</v>
      </c>
      <c r="F44" s="2">
        <v>0</v>
      </c>
    </row>
    <row r="45" spans="1:6" x14ac:dyDescent="0.25">
      <c r="A45" t="s">
        <v>6</v>
      </c>
      <c r="B45" s="5" t="str">
        <f>HYPERLINK("http://www.broadinstitute.org/gsea/msigdb/cards/GOBP_POSITIVE_REGULATION_OF_TUMOR_NECROSIS_FACTOR_SUPERFAMILY_CYTOKINE_PRODUCTION.html","GOBP_POSITIVE_REGULATION_OF_TUMOR_NECROSIS_FACTOR_SUPERFAMILY_CYTOKINE_PRODUCTION")</f>
        <v>GOBP_POSITIVE_REGULATION_OF_TUMOR_NECROSIS_FACTOR_SUPERFAMILY_CYTOKINE_PRODUCTION</v>
      </c>
      <c r="C45" s="4">
        <v>130</v>
      </c>
      <c r="D45" s="3">
        <v>2.4598076</v>
      </c>
      <c r="E45" s="1">
        <v>0</v>
      </c>
      <c r="F45" s="2">
        <v>0</v>
      </c>
    </row>
    <row r="46" spans="1:6" x14ac:dyDescent="0.25">
      <c r="A46" t="s">
        <v>6</v>
      </c>
      <c r="B46" s="5" t="str">
        <f>HYPERLINK("http://www.broadinstitute.org/gsea/msigdb/cards/GOBP_POSITIVE_REGULATION_OF_INFLAMMATORY_RESPONSE.html","GOBP_POSITIVE_REGULATION_OF_INFLAMMATORY_RESPONSE")</f>
        <v>GOBP_POSITIVE_REGULATION_OF_INFLAMMATORY_RESPONSE</v>
      </c>
      <c r="C46" s="4">
        <v>146</v>
      </c>
      <c r="D46" s="3">
        <v>2.4553615999999998</v>
      </c>
      <c r="E46" s="1">
        <v>0</v>
      </c>
      <c r="F46" s="2">
        <v>0</v>
      </c>
    </row>
    <row r="47" spans="1:6" x14ac:dyDescent="0.25">
      <c r="A47" t="s">
        <v>6</v>
      </c>
      <c r="B47" s="5" t="str">
        <f>HYPERLINK("http://www.broadinstitute.org/gsea/msigdb/cards/GOBP_POSITIVE_REGULATION_OF_IMMUNE_EFFECTOR_PROCESS.html","GOBP_POSITIVE_REGULATION_OF_IMMUNE_EFFECTOR_PROCESS")</f>
        <v>GOBP_POSITIVE_REGULATION_OF_IMMUNE_EFFECTOR_PROCESS</v>
      </c>
      <c r="C47" s="4">
        <v>286</v>
      </c>
      <c r="D47" s="3">
        <v>2.4515072999999998</v>
      </c>
      <c r="E47" s="1">
        <v>0</v>
      </c>
      <c r="F47" s="2">
        <v>0</v>
      </c>
    </row>
    <row r="48" spans="1:6" x14ac:dyDescent="0.25">
      <c r="A48" t="s">
        <v>6</v>
      </c>
      <c r="B48" s="5" t="str">
        <f>HYPERLINK("http://www.broadinstitute.org/gsea/msigdb/cards/GOBP_REGULATION_OF_LEUKOCYTE_CHEMOTAXIS.html","GOBP_REGULATION_OF_LEUKOCYTE_CHEMOTAXIS")</f>
        <v>GOBP_REGULATION_OF_LEUKOCYTE_CHEMOTAXIS</v>
      </c>
      <c r="C48" s="4">
        <v>124</v>
      </c>
      <c r="D48" s="3">
        <v>2.4486984999999999</v>
      </c>
      <c r="E48" s="1">
        <v>0</v>
      </c>
      <c r="F48" s="2">
        <v>0</v>
      </c>
    </row>
    <row r="49" spans="1:6" x14ac:dyDescent="0.25">
      <c r="A49" t="s">
        <v>6</v>
      </c>
      <c r="B49" s="5" t="str">
        <f>HYPERLINK("http://www.broadinstitute.org/gsea/msigdb/cards/GOBP_PRODUCTION_OF_MOLECULAR_MEDIATOR_INVOLVED_IN_INFLAMMATORY_RESPONSE.html","GOBP_PRODUCTION_OF_MOLECULAR_MEDIATOR_INVOLVED_IN_INFLAMMATORY_RESPONSE")</f>
        <v>GOBP_PRODUCTION_OF_MOLECULAR_MEDIATOR_INVOLVED_IN_INFLAMMATORY_RESPONSE</v>
      </c>
      <c r="C49" s="4">
        <v>101</v>
      </c>
      <c r="D49" s="3">
        <v>2.4473916999999998</v>
      </c>
      <c r="E49" s="1">
        <v>0</v>
      </c>
      <c r="F49" s="2">
        <v>0</v>
      </c>
    </row>
    <row r="50" spans="1:6" x14ac:dyDescent="0.25">
      <c r="A50" t="s">
        <v>6</v>
      </c>
      <c r="B50" s="5" t="str">
        <f>HYPERLINK("http://www.broadinstitute.org/gsea/msigdb/cards/GOBP_MYELOID_LEUKOCYTE_ACTIVATION.html","GOBP_MYELOID_LEUKOCYTE_ACTIVATION")</f>
        <v>GOBP_MYELOID_LEUKOCYTE_ACTIVATION</v>
      </c>
      <c r="C50" s="4">
        <v>258</v>
      </c>
      <c r="D50" s="3">
        <v>2.4402501999999999</v>
      </c>
      <c r="E50" s="1">
        <v>0</v>
      </c>
      <c r="F50" s="2">
        <v>0</v>
      </c>
    </row>
    <row r="51" spans="1:6" x14ac:dyDescent="0.25">
      <c r="A51" t="s">
        <v>8</v>
      </c>
      <c r="B51" s="5" t="str">
        <f>HYPERLINK("http://www.broadinstitute.org/gsea/msigdb/cards/GOMF_PATTERN_RECOGNITION_RECEPTOR_ACTIVITY.html","GOMF_PATTERN_RECOGNITION_RECEPTOR_ACTIVITY")</f>
        <v>GOMF_PATTERN_RECOGNITION_RECEPTOR_ACTIVITY</v>
      </c>
      <c r="C51" s="4">
        <v>38</v>
      </c>
      <c r="D51" s="3">
        <v>2.4340700000000002</v>
      </c>
      <c r="E51" s="1">
        <v>0</v>
      </c>
      <c r="F51" s="2">
        <v>0</v>
      </c>
    </row>
    <row r="52" spans="1:6" x14ac:dyDescent="0.25">
      <c r="A52" t="s">
        <v>6</v>
      </c>
      <c r="B52" s="5" t="str">
        <f>HYPERLINK("http://www.broadinstitute.org/gsea/msigdb/cards/GOBP_REGULATION_OF_ADAPTIVE_IMMUNE_RESPONSE.html","GOBP_REGULATION_OF_ADAPTIVE_IMMUNE_RESPONSE")</f>
        <v>GOBP_REGULATION_OF_ADAPTIVE_IMMUNE_RESPONSE</v>
      </c>
      <c r="C52" s="4">
        <v>217</v>
      </c>
      <c r="D52" s="3">
        <v>2.4311208999999998</v>
      </c>
      <c r="E52" s="1">
        <v>0</v>
      </c>
      <c r="F52" s="2">
        <v>0</v>
      </c>
    </row>
    <row r="53" spans="1:6" x14ac:dyDescent="0.25">
      <c r="A53" t="s">
        <v>10</v>
      </c>
      <c r="B53" s="5" t="str">
        <f>HYPERLINK("http://www.broadinstitute.org/gsea/msigdb/cards/REACTOME_NEUTROPHIL_DEGRANULATION.html","REACTOME_NEUTROPHIL_DEGRANULATION")</f>
        <v>REACTOME_NEUTROPHIL_DEGRANULATION</v>
      </c>
      <c r="C53" s="4">
        <v>496</v>
      </c>
      <c r="D53" s="3">
        <v>2.4289494</v>
      </c>
      <c r="E53" s="1">
        <v>0</v>
      </c>
      <c r="F53" s="2">
        <v>0</v>
      </c>
    </row>
    <row r="54" spans="1:6" x14ac:dyDescent="0.25">
      <c r="A54" t="s">
        <v>6</v>
      </c>
      <c r="B54" s="5" t="str">
        <f>HYPERLINK("http://www.broadinstitute.org/gsea/msigdb/cards/GOBP_DETECTION_OF_BIOTIC_STIMULUS.html","GOBP_DETECTION_OF_BIOTIC_STIMULUS")</f>
        <v>GOBP_DETECTION_OF_BIOTIC_STIMULUS</v>
      </c>
      <c r="C54" s="4">
        <v>39</v>
      </c>
      <c r="D54" s="3">
        <v>2.4264494999999999</v>
      </c>
      <c r="E54" s="1">
        <v>0</v>
      </c>
      <c r="F54" s="2">
        <v>0</v>
      </c>
    </row>
    <row r="55" spans="1:6" x14ac:dyDescent="0.25">
      <c r="A55" t="s">
        <v>6</v>
      </c>
      <c r="B55" s="5" t="str">
        <f>HYPERLINK("http://www.broadinstitute.org/gsea/msigdb/cards/GOBP_CYTOKINE_MEDIATED_SIGNALING_PATHWAY.html","GOBP_CYTOKINE_MEDIATED_SIGNALING_PATHWAY")</f>
        <v>GOBP_CYTOKINE_MEDIATED_SIGNALING_PATHWAY</v>
      </c>
      <c r="C55" s="4">
        <v>413</v>
      </c>
      <c r="D55" s="3">
        <v>2.4264329999999998</v>
      </c>
      <c r="E55" s="1">
        <v>0</v>
      </c>
      <c r="F55" s="2">
        <v>0</v>
      </c>
    </row>
    <row r="56" spans="1:6" x14ac:dyDescent="0.25">
      <c r="A56" t="s">
        <v>6</v>
      </c>
      <c r="B56" s="5" t="str">
        <f>HYPERLINK("http://www.broadinstitute.org/gsea/msigdb/cards/GOBP_REGULATION_OF_LEUKOCYTE_MEDIATED_IMMUNITY.html","GOBP_REGULATION_OF_LEUKOCYTE_MEDIATED_IMMUNITY")</f>
        <v>GOBP_REGULATION_OF_LEUKOCYTE_MEDIATED_IMMUNITY</v>
      </c>
      <c r="C56" s="4">
        <v>267</v>
      </c>
      <c r="D56" s="3">
        <v>2.4261165</v>
      </c>
      <c r="E56" s="1">
        <v>0</v>
      </c>
      <c r="F56" s="2">
        <v>0</v>
      </c>
    </row>
    <row r="57" spans="1:6" x14ac:dyDescent="0.25">
      <c r="A57" t="s">
        <v>6</v>
      </c>
      <c r="B57" s="5" t="str">
        <f>HYPERLINK("http://www.broadinstitute.org/gsea/msigdb/cards/GOBP_RESPONSE_TO_CHEMOKINE.html","GOBP_RESPONSE_TO_CHEMOKINE")</f>
        <v>GOBP_RESPONSE_TO_CHEMOKINE</v>
      </c>
      <c r="C57" s="4">
        <v>73</v>
      </c>
      <c r="D57" s="3">
        <v>2.4158330000000001</v>
      </c>
      <c r="E57" s="1">
        <v>0</v>
      </c>
      <c r="F57" s="2">
        <v>0</v>
      </c>
    </row>
    <row r="58" spans="1:6" x14ac:dyDescent="0.25">
      <c r="A58" t="s">
        <v>6</v>
      </c>
      <c r="B58" s="5" t="str">
        <f>HYPERLINK("http://www.broadinstitute.org/gsea/msigdb/cards/GOBP_ACTIVATION_OF_INNATE_IMMUNE_RESPONSE.html","GOBP_ACTIVATION_OF_INNATE_IMMUNE_RESPONSE")</f>
        <v>GOBP_ACTIVATION_OF_INNATE_IMMUNE_RESPONSE</v>
      </c>
      <c r="C58" s="4">
        <v>270</v>
      </c>
      <c r="D58" s="3">
        <v>2.4153913999999999</v>
      </c>
      <c r="E58" s="1">
        <v>0</v>
      </c>
      <c r="F58" s="2">
        <v>0</v>
      </c>
    </row>
    <row r="59" spans="1:6" x14ac:dyDescent="0.25">
      <c r="A59" t="s">
        <v>6</v>
      </c>
      <c r="B59" s="5" t="str">
        <f>HYPERLINK("http://www.broadinstitute.org/gsea/msigdb/cards/GOBP_ANTIGEN_PROCESSING_AND_PRESENTATION.html","GOBP_ANTIGEN_PROCESSING_AND_PRESENTATION")</f>
        <v>GOBP_ANTIGEN_PROCESSING_AND_PRESENTATION</v>
      </c>
      <c r="C59" s="4">
        <v>108</v>
      </c>
      <c r="D59" s="3">
        <v>2.4086970000000001</v>
      </c>
      <c r="E59" s="1">
        <v>0</v>
      </c>
      <c r="F59" s="2">
        <v>0</v>
      </c>
    </row>
    <row r="60" spans="1:6" x14ac:dyDescent="0.25">
      <c r="A60" t="s">
        <v>6</v>
      </c>
      <c r="B60" s="5" t="str">
        <f>HYPERLINK("http://www.broadinstitute.org/gsea/msigdb/cards/GOBP_REGULATION_OF_GRANULOCYTE_CHEMOTAXIS.html","GOBP_REGULATION_OF_GRANULOCYTE_CHEMOTAXIS")</f>
        <v>GOBP_REGULATION_OF_GRANULOCYTE_CHEMOTAXIS</v>
      </c>
      <c r="C60" s="4">
        <v>57</v>
      </c>
      <c r="D60" s="3">
        <v>2.4086409</v>
      </c>
      <c r="E60" s="1">
        <v>0</v>
      </c>
      <c r="F60" s="2">
        <v>0</v>
      </c>
    </row>
    <row r="61" spans="1:6" x14ac:dyDescent="0.25">
      <c r="A61" t="s">
        <v>11</v>
      </c>
      <c r="B61" s="5" t="str">
        <f>HYPERLINK("http://www.broadinstitute.org/gsea/msigdb/cards/WP_MICROGLIA_PATHOGEN_PHAGOCYTOSIS_PATHWAY.html","WP_MICROGLIA_PATHOGEN_PHAGOCYTOSIS_PATHWAY")</f>
        <v>WP_MICROGLIA_PATHOGEN_PHAGOCYTOSIS_PATHWAY</v>
      </c>
      <c r="C61" s="4">
        <v>41</v>
      </c>
      <c r="D61" s="3">
        <v>2.4023845000000001</v>
      </c>
      <c r="E61" s="1">
        <v>0</v>
      </c>
      <c r="F61" s="2">
        <v>0</v>
      </c>
    </row>
    <row r="62" spans="1:6" x14ac:dyDescent="0.25">
      <c r="A62" t="s">
        <v>6</v>
      </c>
      <c r="B62" s="5" t="str">
        <f>HYPERLINK("http://www.broadinstitute.org/gsea/msigdb/cards/GOBP_DEFENSE_RESPONSE_TO_BACTERIUM.html","GOBP_DEFENSE_RESPONSE_TO_BACTERIUM")</f>
        <v>GOBP_DEFENSE_RESPONSE_TO_BACTERIUM</v>
      </c>
      <c r="C62" s="4">
        <v>298</v>
      </c>
      <c r="D62" s="3">
        <v>2.4010381999999999</v>
      </c>
      <c r="E62" s="1">
        <v>0</v>
      </c>
      <c r="F62" s="2">
        <v>0</v>
      </c>
    </row>
    <row r="63" spans="1:6" x14ac:dyDescent="0.25">
      <c r="A63" t="s">
        <v>6</v>
      </c>
      <c r="B63" s="5" t="str">
        <f>HYPERLINK("http://www.broadinstitute.org/gsea/msigdb/cards/GOBP_DEFENSE_RESPONSE_TO_GRAM_POSITIVE_BACTERIUM.html","GOBP_DEFENSE_RESPONSE_TO_GRAM_POSITIVE_BACTERIUM")</f>
        <v>GOBP_DEFENSE_RESPONSE_TO_GRAM_POSITIVE_BACTERIUM</v>
      </c>
      <c r="C63" s="4">
        <v>124</v>
      </c>
      <c r="D63" s="3">
        <v>2.4000865999999998</v>
      </c>
      <c r="E63" s="1">
        <v>0</v>
      </c>
      <c r="F63" s="2">
        <v>0</v>
      </c>
    </row>
    <row r="64" spans="1:6" x14ac:dyDescent="0.25">
      <c r="A64" t="s">
        <v>6</v>
      </c>
      <c r="B64" s="5" t="str">
        <f>HYPERLINK("http://www.broadinstitute.org/gsea/msigdb/cards/GOBP_TUMOR_NECROSIS_FACTOR_SUPERFAMILY_CYTOKINE_PRODUCTION.html","GOBP_TUMOR_NECROSIS_FACTOR_SUPERFAMILY_CYTOKINE_PRODUCTION")</f>
        <v>GOBP_TUMOR_NECROSIS_FACTOR_SUPERFAMILY_CYTOKINE_PRODUCTION</v>
      </c>
      <c r="C64" s="4">
        <v>209</v>
      </c>
      <c r="D64" s="3">
        <v>2.3979173</v>
      </c>
      <c r="E64" s="1">
        <v>0</v>
      </c>
      <c r="F64" s="2">
        <v>0</v>
      </c>
    </row>
    <row r="65" spans="1:6" x14ac:dyDescent="0.25">
      <c r="A65" t="s">
        <v>6</v>
      </c>
      <c r="B65" s="5" t="str">
        <f>HYPERLINK("http://www.broadinstitute.org/gsea/msigdb/cards/GOBP_LYMPHOCYTE_MEDIATED_IMMUNITY.html","GOBP_LYMPHOCYTE_MEDIATED_IMMUNITY")</f>
        <v>GOBP_LYMPHOCYTE_MEDIATED_IMMUNITY</v>
      </c>
      <c r="C65" s="4">
        <v>317</v>
      </c>
      <c r="D65" s="3">
        <v>2.3975426999999998</v>
      </c>
      <c r="E65" s="1">
        <v>0</v>
      </c>
      <c r="F65" s="2">
        <v>0</v>
      </c>
    </row>
    <row r="66" spans="1:6" x14ac:dyDescent="0.25">
      <c r="A66" t="s">
        <v>6</v>
      </c>
      <c r="B66" s="5" t="str">
        <f>HYPERLINK("http://www.broadinstitute.org/gsea/msigdb/cards/GOBP_TAXIS.html","GOBP_TAXIS")</f>
        <v>GOBP_TAXIS</v>
      </c>
      <c r="C66" s="4">
        <v>433</v>
      </c>
      <c r="D66" s="3">
        <v>2.3975067000000001</v>
      </c>
      <c r="E66" s="1">
        <v>0</v>
      </c>
      <c r="F66" s="2">
        <v>0</v>
      </c>
    </row>
    <row r="67" spans="1:6" x14ac:dyDescent="0.25">
      <c r="A67" t="s">
        <v>10</v>
      </c>
      <c r="B67" s="5" t="str">
        <f>HYPERLINK("http://www.broadinstitute.org/gsea/msigdb/cards/REACTOME_INTEGRIN_CELL_SURFACE_INTERACTIONS.html","REACTOME_INTEGRIN_CELL_SURFACE_INTERACTIONS")</f>
        <v>REACTOME_INTEGRIN_CELL_SURFACE_INTERACTIONS</v>
      </c>
      <c r="C67" s="4">
        <v>73</v>
      </c>
      <c r="D67" s="3">
        <v>2.3939067999999999</v>
      </c>
      <c r="E67" s="1">
        <v>0</v>
      </c>
      <c r="F67" s="2">
        <v>0</v>
      </c>
    </row>
    <row r="68" spans="1:6" x14ac:dyDescent="0.25">
      <c r="A68" t="s">
        <v>6</v>
      </c>
      <c r="B68" s="5" t="str">
        <f>HYPERLINK("http://www.broadinstitute.org/gsea/msigdb/cards/GOBP_POSITIVE_REGULATION_OF_NEUTROPHIL_MIGRATION.html","GOBP_POSITIVE_REGULATION_OF_NEUTROPHIL_MIGRATION")</f>
        <v>GOBP_POSITIVE_REGULATION_OF_NEUTROPHIL_MIGRATION</v>
      </c>
      <c r="C68" s="4">
        <v>40</v>
      </c>
      <c r="D68" s="3">
        <v>2.3937414000000001</v>
      </c>
      <c r="E68" s="1">
        <v>0</v>
      </c>
      <c r="F68" s="2">
        <v>0</v>
      </c>
    </row>
    <row r="69" spans="1:6" x14ac:dyDescent="0.25">
      <c r="A69" t="s">
        <v>6</v>
      </c>
      <c r="B69" s="5" t="str">
        <f>HYPERLINK("http://www.broadinstitute.org/gsea/msigdb/cards/GOBP_CYTOKINE_PRODUCTION_INVOLVED_IN_INFLAMMATORY_RESPONSE.html","GOBP_CYTOKINE_PRODUCTION_INVOLVED_IN_INFLAMMATORY_RESPONSE")</f>
        <v>GOBP_CYTOKINE_PRODUCTION_INVOLVED_IN_INFLAMMATORY_RESPONSE</v>
      </c>
      <c r="C69" s="4">
        <v>68</v>
      </c>
      <c r="D69" s="3">
        <v>2.3914843000000001</v>
      </c>
      <c r="E69" s="1">
        <v>0</v>
      </c>
      <c r="F69" s="2">
        <v>0</v>
      </c>
    </row>
    <row r="70" spans="1:6" x14ac:dyDescent="0.25">
      <c r="A70" t="s">
        <v>6</v>
      </c>
      <c r="B70" s="5" t="str">
        <f>HYPERLINK("http://www.broadinstitute.org/gsea/msigdb/cards/GOBP_LEUKOCYTE_MEDIATED_IMMUNITY.html","GOBP_LEUKOCYTE_MEDIATED_IMMUNITY")</f>
        <v>GOBP_LEUKOCYTE_MEDIATED_IMMUNITY</v>
      </c>
      <c r="C70" s="4">
        <v>428</v>
      </c>
      <c r="D70" s="3">
        <v>2.3892251999999998</v>
      </c>
      <c r="E70" s="1">
        <v>0</v>
      </c>
      <c r="F70" s="2">
        <v>0</v>
      </c>
    </row>
    <row r="71" spans="1:6" x14ac:dyDescent="0.25">
      <c r="A71" t="s">
        <v>6</v>
      </c>
      <c r="B71" s="5" t="str">
        <f>HYPERLINK("http://www.broadinstitute.org/gsea/msigdb/cards/GOBP_REGULATION_OF_INNATE_IMMUNE_RESPONSE.html","GOBP_REGULATION_OF_INNATE_IMMUNE_RESPONSE")</f>
        <v>GOBP_REGULATION_OF_INNATE_IMMUNE_RESPONSE</v>
      </c>
      <c r="C71" s="4">
        <v>428</v>
      </c>
      <c r="D71" s="3">
        <v>2.3885266999999999</v>
      </c>
      <c r="E71" s="1">
        <v>0</v>
      </c>
      <c r="F71" s="2">
        <v>0</v>
      </c>
    </row>
    <row r="72" spans="1:6" x14ac:dyDescent="0.25">
      <c r="A72" t="s">
        <v>11</v>
      </c>
      <c r="B72" s="5" t="str">
        <f>HYPERLINK("http://www.broadinstitute.org/gsea/msigdb/cards/WP_TYPE_II_INTERFERON_SIGNALING_IFNG.html","WP_TYPE_II_INTERFERON_SIGNALING_IFNG")</f>
        <v>WP_TYPE_II_INTERFERON_SIGNALING_IFNG</v>
      </c>
      <c r="C72" s="4">
        <v>31</v>
      </c>
      <c r="D72" s="3">
        <v>2.3772864</v>
      </c>
      <c r="E72" s="1">
        <v>0</v>
      </c>
      <c r="F72" s="2">
        <v>0</v>
      </c>
    </row>
    <row r="73" spans="1:6" x14ac:dyDescent="0.25">
      <c r="A73" t="s">
        <v>6</v>
      </c>
      <c r="B73" s="5" t="str">
        <f>HYPERLINK("http://www.broadinstitute.org/gsea/msigdb/cards/GOBP_TYPE_II_INTERFERON_PRODUCTION.html","GOBP_TYPE_II_INTERFERON_PRODUCTION")</f>
        <v>GOBP_TYPE_II_INTERFERON_PRODUCTION</v>
      </c>
      <c r="C73" s="4">
        <v>136</v>
      </c>
      <c r="D73" s="3">
        <v>2.3761005000000002</v>
      </c>
      <c r="E73" s="1">
        <v>0</v>
      </c>
      <c r="F73" s="2">
        <v>0</v>
      </c>
    </row>
    <row r="74" spans="1:6" x14ac:dyDescent="0.25">
      <c r="A74" t="s">
        <v>6</v>
      </c>
      <c r="B74" s="5" t="str">
        <f>HYPERLINK("http://www.broadinstitute.org/gsea/msigdb/cards/GOBP_CELL_KILLING.html","GOBP_CELL_KILLING")</f>
        <v>GOBP_CELL_KILLING</v>
      </c>
      <c r="C74" s="4">
        <v>226</v>
      </c>
      <c r="D74" s="3">
        <v>2.3692513000000002</v>
      </c>
      <c r="E74" s="1">
        <v>0</v>
      </c>
      <c r="F74" s="2">
        <v>0</v>
      </c>
    </row>
    <row r="75" spans="1:6" x14ac:dyDescent="0.25">
      <c r="A75" t="s">
        <v>6</v>
      </c>
      <c r="B75" s="5" t="str">
        <f>HYPERLINK("http://www.broadinstitute.org/gsea/msigdb/cards/GOBP_REGULATION_OF_CELLULAR_EXTRAVASATION.html","GOBP_REGULATION_OF_CELLULAR_EXTRAVASATION")</f>
        <v>GOBP_REGULATION_OF_CELLULAR_EXTRAVASATION</v>
      </c>
      <c r="C75" s="4">
        <v>43</v>
      </c>
      <c r="D75" s="3">
        <v>2.3691702000000001</v>
      </c>
      <c r="E75" s="1">
        <v>0</v>
      </c>
      <c r="F75" s="2">
        <v>0</v>
      </c>
    </row>
    <row r="76" spans="1:6" x14ac:dyDescent="0.25">
      <c r="A76" t="s">
        <v>6</v>
      </c>
      <c r="B76" s="5" t="str">
        <f>HYPERLINK("http://www.broadinstitute.org/gsea/msigdb/cards/GOBP_T_CELL_MIGRATION.html","GOBP_T_CELL_MIGRATION")</f>
        <v>GOBP_T_CELL_MIGRATION</v>
      </c>
      <c r="C76" s="4">
        <v>65</v>
      </c>
      <c r="D76" s="3">
        <v>2.3687195999999999</v>
      </c>
      <c r="E76" s="1">
        <v>0</v>
      </c>
      <c r="F76" s="2">
        <v>0</v>
      </c>
    </row>
    <row r="77" spans="1:6" x14ac:dyDescent="0.25">
      <c r="A77" t="s">
        <v>6</v>
      </c>
      <c r="B77" s="5" t="str">
        <f>HYPERLINK("http://www.broadinstitute.org/gsea/msigdb/cards/GOBP_RESPONSE_TO_VIRUS.html","GOBP_RESPONSE_TO_VIRUS")</f>
        <v>GOBP_RESPONSE_TO_VIRUS</v>
      </c>
      <c r="C77" s="4">
        <v>357</v>
      </c>
      <c r="D77" s="3">
        <v>2.3627066999999999</v>
      </c>
      <c r="E77" s="1">
        <v>0</v>
      </c>
      <c r="F77" s="2">
        <v>0</v>
      </c>
    </row>
    <row r="78" spans="1:6" x14ac:dyDescent="0.25">
      <c r="A78" t="s">
        <v>9</v>
      </c>
      <c r="B78" s="5" t="str">
        <f>HYPERLINK("http://www.broadinstitute.org/gsea/msigdb/cards/HALLMARK_EPITHELIAL_MESENCHYMAL_TRANSITION.html","HALLMARK_EPITHELIAL_MESENCHYMAL_TRANSITION")</f>
        <v>HALLMARK_EPITHELIAL_MESENCHYMAL_TRANSITION</v>
      </c>
      <c r="C78" s="4">
        <v>193</v>
      </c>
      <c r="D78" s="3">
        <v>2.3614388000000002</v>
      </c>
      <c r="E78" s="1">
        <v>0</v>
      </c>
      <c r="F78" s="2">
        <v>0</v>
      </c>
    </row>
    <row r="79" spans="1:6" x14ac:dyDescent="0.25">
      <c r="A79" t="s">
        <v>6</v>
      </c>
      <c r="B79" s="5" t="str">
        <f>HYPERLINK("http://www.broadinstitute.org/gsea/msigdb/cards/GOBP_ANTIGEN_PROCESSING_AND_PRESENTATION_OF_PEPTIDE_OR_POLYSACCHARIDE_ANTIGEN_VIA_MHC_CLASS_II.html","GOBP_ANTIGEN_PROCESSING_AND_PRESENTATION_OF_PEPTIDE_OR_POLYSACCHARIDE_ANTIGEN_VIA_MHC_CLASS_II")</f>
        <v>GOBP_ANTIGEN_PROCESSING_AND_PRESENTATION_OF_PEPTIDE_OR_POLYSACCHARIDE_ANTIGEN_VIA_MHC_CLASS_II</v>
      </c>
      <c r="C79" s="4">
        <v>25</v>
      </c>
      <c r="D79" s="3">
        <v>2.357183</v>
      </c>
      <c r="E79" s="1">
        <v>0</v>
      </c>
      <c r="F79" s="2">
        <v>0</v>
      </c>
    </row>
    <row r="80" spans="1:6" x14ac:dyDescent="0.25">
      <c r="A80" t="s">
        <v>8</v>
      </c>
      <c r="B80" s="5" t="str">
        <f>HYPERLINK("http://www.broadinstitute.org/gsea/msigdb/cards/GOMF_COLLAGEN_BINDING.html","GOMF_COLLAGEN_BINDING")</f>
        <v>GOMF_COLLAGEN_BINDING</v>
      </c>
      <c r="C80" s="4">
        <v>70</v>
      </c>
      <c r="D80" s="3">
        <v>2.3549929999999999</v>
      </c>
      <c r="E80" s="1">
        <v>0</v>
      </c>
      <c r="F80" s="2">
        <v>0</v>
      </c>
    </row>
    <row r="81" spans="1:6" x14ac:dyDescent="0.25">
      <c r="A81" t="s">
        <v>6</v>
      </c>
      <c r="B81" s="5" t="str">
        <f>HYPERLINK("http://www.broadinstitute.org/gsea/msigdb/cards/GOBP_GLIAL_CELL_ACTIVATION.html","GOBP_GLIAL_CELL_ACTIVATION")</f>
        <v>GOBP_GLIAL_CELL_ACTIVATION</v>
      </c>
      <c r="C81" s="4">
        <v>57</v>
      </c>
      <c r="D81" s="3">
        <v>2.352538</v>
      </c>
      <c r="E81" s="1">
        <v>0</v>
      </c>
      <c r="F81" s="2">
        <v>0</v>
      </c>
    </row>
    <row r="82" spans="1:6" x14ac:dyDescent="0.25">
      <c r="A82" t="s">
        <v>6</v>
      </c>
      <c r="B82" s="5" t="str">
        <f>HYPERLINK("http://www.broadinstitute.org/gsea/msigdb/cards/GOBP_T_CELL_MEDIATED_IMMUNITY.html","GOBP_T_CELL_MEDIATED_IMMUNITY")</f>
        <v>GOBP_T_CELL_MEDIATED_IMMUNITY</v>
      </c>
      <c r="C82" s="4">
        <v>140</v>
      </c>
      <c r="D82" s="3">
        <v>2.3508684999999998</v>
      </c>
      <c r="E82" s="1">
        <v>0</v>
      </c>
      <c r="F82" s="2">
        <v>0</v>
      </c>
    </row>
    <row r="83" spans="1:6" x14ac:dyDescent="0.25">
      <c r="A83" t="s">
        <v>6</v>
      </c>
      <c r="B83" s="5" t="str">
        <f>HYPERLINK("http://www.broadinstitute.org/gsea/msigdb/cards/GOBP_NEUTROPHIL_ACTIVATION_INVOLVED_IN_IMMUNE_RESPONSE.html","GOBP_NEUTROPHIL_ACTIVATION_INVOLVED_IN_IMMUNE_RESPONSE")</f>
        <v>GOBP_NEUTROPHIL_ACTIVATION_INVOLVED_IN_IMMUNE_RESPONSE</v>
      </c>
      <c r="C83" s="4">
        <v>20</v>
      </c>
      <c r="D83" s="3">
        <v>2.3493202000000002</v>
      </c>
      <c r="E83" s="1">
        <v>0</v>
      </c>
      <c r="F83" s="2">
        <v>0</v>
      </c>
    </row>
    <row r="84" spans="1:6" x14ac:dyDescent="0.25">
      <c r="A84" t="s">
        <v>10</v>
      </c>
      <c r="B84" s="5" t="str">
        <f>HYPERLINK("http://www.broadinstitute.org/gsea/msigdb/cards/REACTOME_EXTRACELLULAR_MATRIX_ORGANIZATION.html","REACTOME_EXTRACELLULAR_MATRIX_ORGANIZATION")</f>
        <v>REACTOME_EXTRACELLULAR_MATRIX_ORGANIZATION</v>
      </c>
      <c r="C84" s="4">
        <v>239</v>
      </c>
      <c r="D84" s="3">
        <v>2.3480606000000002</v>
      </c>
      <c r="E84" s="1">
        <v>0</v>
      </c>
      <c r="F84" s="2">
        <v>0</v>
      </c>
    </row>
    <row r="85" spans="1:6" x14ac:dyDescent="0.25">
      <c r="A85" t="s">
        <v>6</v>
      </c>
      <c r="B85" s="5" t="str">
        <f>HYPERLINK("http://www.broadinstitute.org/gsea/msigdb/cards/GOBP_ACTIVATION_OF_IMMUNE_RESPONSE.html","GOBP_ACTIVATION_OF_IMMUNE_RESPONSE")</f>
        <v>GOBP_ACTIVATION_OF_IMMUNE_RESPONSE</v>
      </c>
      <c r="C85" s="4">
        <v>499</v>
      </c>
      <c r="D85" s="3">
        <v>2.3474797999999999</v>
      </c>
      <c r="E85" s="1">
        <v>0</v>
      </c>
      <c r="F85" s="2">
        <v>0</v>
      </c>
    </row>
    <row r="86" spans="1:6" x14ac:dyDescent="0.25">
      <c r="A86" t="s">
        <v>6</v>
      </c>
      <c r="B86" s="5" t="str">
        <f>HYPERLINK("http://www.broadinstitute.org/gsea/msigdb/cards/GOBP_KILLING_OF_CELLS_OF_ANOTHER_ORGANISM.html","GOBP_KILLING_OF_CELLS_OF_ANOTHER_ORGANISM")</f>
        <v>GOBP_KILLING_OF_CELLS_OF_ANOTHER_ORGANISM</v>
      </c>
      <c r="C86" s="4">
        <v>85</v>
      </c>
      <c r="D86" s="3">
        <v>2.3455154999999999</v>
      </c>
      <c r="E86" s="1">
        <v>0</v>
      </c>
      <c r="F86" s="2">
        <v>0</v>
      </c>
    </row>
    <row r="87" spans="1:6" x14ac:dyDescent="0.25">
      <c r="A87" t="s">
        <v>6</v>
      </c>
      <c r="B87" s="5" t="str">
        <f>HYPERLINK("http://www.broadinstitute.org/gsea/msigdb/cards/GOBP_REGULATION_OF_INFLAMMATORY_RESPONSE.html","GOBP_REGULATION_OF_INFLAMMATORY_RESPONSE")</f>
        <v>GOBP_REGULATION_OF_INFLAMMATORY_RESPONSE</v>
      </c>
      <c r="C87" s="4">
        <v>362</v>
      </c>
      <c r="D87" s="3">
        <v>2.3423853000000001</v>
      </c>
      <c r="E87" s="1">
        <v>0</v>
      </c>
      <c r="F87" s="2">
        <v>0</v>
      </c>
    </row>
    <row r="88" spans="1:6" x14ac:dyDescent="0.25">
      <c r="A88" t="s">
        <v>6</v>
      </c>
      <c r="B88" s="5" t="str">
        <f>HYPERLINK("http://www.broadinstitute.org/gsea/msigdb/cards/GOBP_INNATE_IMMUNE_RESPONSE_ACTIVATING_SIGNALING_PATHWAY.html","GOBP_INNATE_IMMUNE_RESPONSE_ACTIVATING_SIGNALING_PATHWAY")</f>
        <v>GOBP_INNATE_IMMUNE_RESPONSE_ACTIVATING_SIGNALING_PATHWAY</v>
      </c>
      <c r="C88" s="4">
        <v>235</v>
      </c>
      <c r="D88" s="3">
        <v>2.3415216999999999</v>
      </c>
      <c r="E88" s="1">
        <v>0</v>
      </c>
      <c r="F88" s="2">
        <v>0</v>
      </c>
    </row>
    <row r="89" spans="1:6" x14ac:dyDescent="0.25">
      <c r="A89" t="s">
        <v>6</v>
      </c>
      <c r="B89" s="5" t="str">
        <f>HYPERLINK("http://www.broadinstitute.org/gsea/msigdb/cards/GOBP_POSITIVE_REGULATION_OF_LEUKOCYTE_CHEMOTAXIS.html","GOBP_POSITIVE_REGULATION_OF_LEUKOCYTE_CHEMOTAXIS")</f>
        <v>GOBP_POSITIVE_REGULATION_OF_LEUKOCYTE_CHEMOTAXIS</v>
      </c>
      <c r="C89" s="4">
        <v>98</v>
      </c>
      <c r="D89" s="3">
        <v>2.3410125000000002</v>
      </c>
      <c r="E89" s="1">
        <v>0</v>
      </c>
      <c r="F89" s="2">
        <v>0</v>
      </c>
    </row>
    <row r="90" spans="1:6" x14ac:dyDescent="0.25">
      <c r="A90" t="s">
        <v>6</v>
      </c>
      <c r="B90" s="5" t="str">
        <f>HYPERLINK("http://www.broadinstitute.org/gsea/msigdb/cards/GOBP_REGULATION_OF_MONONUCLEAR_CELL_MIGRATION.html","GOBP_REGULATION_OF_MONONUCLEAR_CELL_MIGRATION")</f>
        <v>GOBP_REGULATION_OF_MONONUCLEAR_CELL_MIGRATION</v>
      </c>
      <c r="C90" s="4">
        <v>122</v>
      </c>
      <c r="D90" s="3">
        <v>2.3409393000000001</v>
      </c>
      <c r="E90" s="1">
        <v>0</v>
      </c>
      <c r="F90" s="2">
        <v>0</v>
      </c>
    </row>
    <row r="91" spans="1:6" x14ac:dyDescent="0.25">
      <c r="A91" t="s">
        <v>6</v>
      </c>
      <c r="B91" s="5" t="str">
        <f>HYPERLINK("http://www.broadinstitute.org/gsea/msigdb/cards/GOBP_LYMPHOCYTE_CHEMOTAXIS.html","GOBP_LYMPHOCYTE_CHEMOTAXIS")</f>
        <v>GOBP_LYMPHOCYTE_CHEMOTAXIS</v>
      </c>
      <c r="C91" s="4">
        <v>50</v>
      </c>
      <c r="D91" s="3">
        <v>2.3396032</v>
      </c>
      <c r="E91" s="1">
        <v>0</v>
      </c>
      <c r="F91" s="2">
        <v>0</v>
      </c>
    </row>
    <row r="92" spans="1:6" x14ac:dyDescent="0.25">
      <c r="A92" t="s">
        <v>6</v>
      </c>
      <c r="B92" s="5" t="str">
        <f>HYPERLINK("http://www.broadinstitute.org/gsea/msigdb/cards/GOBP_DEFENSE_RESPONSE_TO_SYMBIONT.html","GOBP_DEFENSE_RESPONSE_TO_SYMBIONT")</f>
        <v>GOBP_DEFENSE_RESPONSE_TO_SYMBIONT</v>
      </c>
      <c r="C92" s="4">
        <v>304</v>
      </c>
      <c r="D92" s="3">
        <v>2.3362257</v>
      </c>
      <c r="E92" s="1">
        <v>0</v>
      </c>
      <c r="F92" s="2">
        <v>0</v>
      </c>
    </row>
    <row r="93" spans="1:6" x14ac:dyDescent="0.25">
      <c r="A93" t="s">
        <v>9</v>
      </c>
      <c r="B93" s="5" t="str">
        <f>HYPERLINK("http://www.broadinstitute.org/gsea/msigdb/cards/HALLMARK_KRAS_SIGNALING_UP.html","HALLMARK_KRAS_SIGNALING_UP")</f>
        <v>HALLMARK_KRAS_SIGNALING_UP</v>
      </c>
      <c r="C93" s="4">
        <v>198</v>
      </c>
      <c r="D93" s="3">
        <v>2.3285138999999999</v>
      </c>
      <c r="E93" s="1">
        <v>0</v>
      </c>
      <c r="F93" s="2">
        <v>0</v>
      </c>
    </row>
    <row r="94" spans="1:6" x14ac:dyDescent="0.25">
      <c r="A94" t="s">
        <v>6</v>
      </c>
      <c r="B94" s="5" t="str">
        <f>HYPERLINK("http://www.broadinstitute.org/gsea/msigdb/cards/GOBP_DETECTION_OF_EXTERNAL_BIOTIC_STIMULUS.html","GOBP_DETECTION_OF_EXTERNAL_BIOTIC_STIMULUS")</f>
        <v>GOBP_DETECTION_OF_EXTERNAL_BIOTIC_STIMULUS</v>
      </c>
      <c r="C94" s="4">
        <v>28</v>
      </c>
      <c r="D94" s="3">
        <v>2.3253452999999999</v>
      </c>
      <c r="E94" s="1">
        <v>0</v>
      </c>
      <c r="F94" s="2">
        <v>0</v>
      </c>
    </row>
    <row r="95" spans="1:6" x14ac:dyDescent="0.25">
      <c r="A95" t="s">
        <v>6</v>
      </c>
      <c r="B95" s="5" t="str">
        <f>HYPERLINK("http://www.broadinstitute.org/gsea/msigdb/cards/GOBP_RESPONSE_TO_FUNGUS.html","GOBP_RESPONSE_TO_FUNGUS")</f>
        <v>GOBP_RESPONSE_TO_FUNGUS</v>
      </c>
      <c r="C95" s="4">
        <v>67</v>
      </c>
      <c r="D95" s="3">
        <v>2.3237220000000001</v>
      </c>
      <c r="E95" s="1">
        <v>0</v>
      </c>
      <c r="F95" s="2">
        <v>0</v>
      </c>
    </row>
    <row r="96" spans="1:6" x14ac:dyDescent="0.25">
      <c r="A96" t="s">
        <v>10</v>
      </c>
      <c r="B96" s="5" t="str">
        <f>HYPERLINK("http://www.broadinstitute.org/gsea/msigdb/cards/REACTOME_ASSEMBLY_OF_COLLAGEN_FIBRILS_AND_OTHER_MULTIMERIC_STRUCTURES.html","REACTOME_ASSEMBLY_OF_COLLAGEN_FIBRILS_AND_OTHER_MULTIMERIC_STRUCTURES")</f>
        <v>REACTOME_ASSEMBLY_OF_COLLAGEN_FIBRILS_AND_OTHER_MULTIMERIC_STRUCTURES</v>
      </c>
      <c r="C96" s="4">
        <v>47</v>
      </c>
      <c r="D96" s="3">
        <v>2.3198108999999998</v>
      </c>
      <c r="E96" s="1">
        <v>0</v>
      </c>
      <c r="F96" s="2">
        <v>0</v>
      </c>
    </row>
    <row r="97" spans="1:6" x14ac:dyDescent="0.25">
      <c r="A97" t="s">
        <v>6</v>
      </c>
      <c r="B97" s="5" t="str">
        <f>HYPERLINK("http://www.broadinstitute.org/gsea/msigdb/cards/GOBP_POSITIVE_REGULATION_OF_ADAPTIVE_IMMUNE_RESPONSE.html","GOBP_POSITIVE_REGULATION_OF_ADAPTIVE_IMMUNE_RESPONSE")</f>
        <v>GOBP_POSITIVE_REGULATION_OF_ADAPTIVE_IMMUNE_RESPONSE</v>
      </c>
      <c r="C97" s="4">
        <v>144</v>
      </c>
      <c r="D97" s="3">
        <v>2.3168497000000001</v>
      </c>
      <c r="E97" s="1">
        <v>0</v>
      </c>
      <c r="F97" s="2">
        <v>0</v>
      </c>
    </row>
    <row r="98" spans="1:6" x14ac:dyDescent="0.25">
      <c r="A98" t="s">
        <v>6</v>
      </c>
      <c r="B98" s="5" t="str">
        <f>HYPERLINK("http://www.broadinstitute.org/gsea/msigdb/cards/GOBP_POSITIVE_REGULATION_OF_CHEMOTAXIS.html","GOBP_POSITIVE_REGULATION_OF_CHEMOTAXIS")</f>
        <v>GOBP_POSITIVE_REGULATION_OF_CHEMOTAXIS</v>
      </c>
      <c r="C98" s="4">
        <v>151</v>
      </c>
      <c r="D98" s="3">
        <v>2.3147484999999999</v>
      </c>
      <c r="E98" s="1">
        <v>0</v>
      </c>
      <c r="F98" s="2">
        <v>0</v>
      </c>
    </row>
    <row r="99" spans="1:6" x14ac:dyDescent="0.25">
      <c r="A99" t="s">
        <v>6</v>
      </c>
      <c r="B99" s="5" t="str">
        <f>HYPERLINK("http://www.broadinstitute.org/gsea/msigdb/cards/GOBP_POSITIVE_REGULATION_OF_ENDOCYTOSIS.html","GOBP_POSITIVE_REGULATION_OF_ENDOCYTOSIS")</f>
        <v>GOBP_POSITIVE_REGULATION_OF_ENDOCYTOSIS</v>
      </c>
      <c r="C99" s="4">
        <v>190</v>
      </c>
      <c r="D99" s="3">
        <v>2.3092890000000001</v>
      </c>
      <c r="E99" s="1">
        <v>0</v>
      </c>
      <c r="F99" s="2">
        <v>0</v>
      </c>
    </row>
    <row r="100" spans="1:6" x14ac:dyDescent="0.25">
      <c r="A100" t="s">
        <v>6</v>
      </c>
      <c r="B100" s="5" t="str">
        <f>HYPERLINK("http://www.broadinstitute.org/gsea/msigdb/cards/GOBP_DISRUPTION_OF_ANATOMICAL_STRUCTURE_IN_ANOTHER_ORGANISM.html","GOBP_DISRUPTION_OF_ANATOMICAL_STRUCTURE_IN_ANOTHER_ORGANISM")</f>
        <v>GOBP_DISRUPTION_OF_ANATOMICAL_STRUCTURE_IN_ANOTHER_ORGANISM</v>
      </c>
      <c r="C100" s="4">
        <v>89</v>
      </c>
      <c r="D100" s="3">
        <v>2.3091344999999999</v>
      </c>
      <c r="E100" s="1">
        <v>0</v>
      </c>
      <c r="F100" s="2">
        <v>0</v>
      </c>
    </row>
    <row r="101" spans="1:6" x14ac:dyDescent="0.25">
      <c r="A101" t="s">
        <v>6</v>
      </c>
      <c r="B101" s="5" t="str">
        <f>HYPERLINK("http://www.broadinstitute.org/gsea/msigdb/cards/GOBP_ACUTE_INFLAMMATORY_RESPONSE.html","GOBP_ACUTE_INFLAMMATORY_RESPONSE")</f>
        <v>GOBP_ACUTE_INFLAMMATORY_RESPONSE</v>
      </c>
      <c r="C101" s="4">
        <v>114</v>
      </c>
      <c r="D101" s="3">
        <v>2.3078729999999998</v>
      </c>
      <c r="E101" s="1">
        <v>0</v>
      </c>
      <c r="F101" s="2">
        <v>0</v>
      </c>
    </row>
    <row r="102" spans="1:6" x14ac:dyDescent="0.25">
      <c r="A102" t="s">
        <v>6</v>
      </c>
      <c r="B102" s="5" t="str">
        <f>HYPERLINK("http://www.broadinstitute.org/gsea/msigdb/cards/GOBP_REGULATION_OF_PRODUCTION_OF_MOLECULAR_MEDIATOR_OF_IMMUNE_RESPONSE.html","GOBP_REGULATION_OF_PRODUCTION_OF_MOLECULAR_MEDIATOR_OF_IMMUNE_RESPONSE")</f>
        <v>GOBP_REGULATION_OF_PRODUCTION_OF_MOLECULAR_MEDIATOR_OF_IMMUNE_RESPONSE</v>
      </c>
      <c r="C102" s="4">
        <v>213</v>
      </c>
      <c r="D102" s="3">
        <v>2.3039515000000002</v>
      </c>
      <c r="E102" s="1">
        <v>0</v>
      </c>
      <c r="F102" s="2">
        <v>0</v>
      </c>
    </row>
    <row r="103" spans="1:6" x14ac:dyDescent="0.25">
      <c r="A103" t="s">
        <v>6</v>
      </c>
      <c r="B103" s="5" t="str">
        <f>HYPERLINK("http://www.broadinstitute.org/gsea/msigdb/cards/GOBP_LEUKOCYTE_ACTIVATION_INVOLVED_IN_INFLAMMATORY_RESPONSE.html","GOBP_LEUKOCYTE_ACTIVATION_INVOLVED_IN_INFLAMMATORY_RESPONSE")</f>
        <v>GOBP_LEUKOCYTE_ACTIVATION_INVOLVED_IN_INFLAMMATORY_RESPONSE</v>
      </c>
      <c r="C103" s="4">
        <v>52</v>
      </c>
      <c r="D103" s="3">
        <v>2.3038281999999999</v>
      </c>
      <c r="E103" s="1">
        <v>0</v>
      </c>
      <c r="F103" s="2">
        <v>0</v>
      </c>
    </row>
    <row r="104" spans="1:6" x14ac:dyDescent="0.25">
      <c r="A104" t="s">
        <v>6</v>
      </c>
      <c r="B104" s="5" t="str">
        <f>HYPERLINK("http://www.broadinstitute.org/gsea/msigdb/cards/GOBP_RESPONSE_TO_INTERLEUKIN_1.html","GOBP_RESPONSE_TO_INTERLEUKIN_1")</f>
        <v>GOBP_RESPONSE_TO_INTERLEUKIN_1</v>
      </c>
      <c r="C104" s="4">
        <v>93</v>
      </c>
      <c r="D104" s="3">
        <v>2.3009062</v>
      </c>
      <c r="E104" s="1">
        <v>0</v>
      </c>
      <c r="F104" s="2">
        <v>0</v>
      </c>
    </row>
    <row r="105" spans="1:6" x14ac:dyDescent="0.25">
      <c r="A105" t="s">
        <v>8</v>
      </c>
      <c r="B105" s="5" t="str">
        <f>HYPERLINK("http://www.broadinstitute.org/gsea/msigdb/cards/GOMF_IMMUNE_RECEPTOR_ACTIVITY.html","GOMF_IMMUNE_RECEPTOR_ACTIVITY")</f>
        <v>GOMF_IMMUNE_RECEPTOR_ACTIVITY</v>
      </c>
      <c r="C105" s="4">
        <v>131</v>
      </c>
      <c r="D105" s="3">
        <v>2.2999165000000001</v>
      </c>
      <c r="E105" s="1">
        <v>0</v>
      </c>
      <c r="F105" s="2">
        <v>0</v>
      </c>
    </row>
    <row r="106" spans="1:6" x14ac:dyDescent="0.25">
      <c r="A106" t="s">
        <v>8</v>
      </c>
      <c r="B106" s="5" t="str">
        <f>HYPERLINK("http://www.broadinstitute.org/gsea/msigdb/cards/GOMF_INTEGRIN_BINDING.html","GOMF_INTEGRIN_BINDING")</f>
        <v>GOMF_INTEGRIN_BINDING</v>
      </c>
      <c r="C106" s="4">
        <v>150</v>
      </c>
      <c r="D106" s="3">
        <v>2.2977460000000001</v>
      </c>
      <c r="E106" s="1">
        <v>0</v>
      </c>
      <c r="F106" s="2">
        <v>0</v>
      </c>
    </row>
    <row r="107" spans="1:6" x14ac:dyDescent="0.25">
      <c r="A107" t="s">
        <v>7</v>
      </c>
      <c r="B107" s="5" t="str">
        <f>HYPERLINK("http://www.broadinstitute.org/gsea/msigdb/cards/GOCC_PHAGOCYTIC_VESICLE.html","GOCC_PHAGOCYTIC_VESICLE")</f>
        <v>GOCC_PHAGOCYTIC_VESICLE</v>
      </c>
      <c r="C107" s="4">
        <v>109</v>
      </c>
      <c r="D107" s="3">
        <v>2.2931623000000001</v>
      </c>
      <c r="E107" s="1">
        <v>0</v>
      </c>
      <c r="F107" s="2">
        <v>0</v>
      </c>
    </row>
    <row r="108" spans="1:6" x14ac:dyDescent="0.25">
      <c r="A108" t="s">
        <v>6</v>
      </c>
      <c r="B108" s="5" t="str">
        <f>HYPERLINK("http://www.broadinstitute.org/gsea/msigdb/cards/GOBP_REGULATION_OF_NEUTROPHIL_CHEMOTAXIS.html","GOBP_REGULATION_OF_NEUTROPHIL_CHEMOTAXIS")</f>
        <v>GOBP_REGULATION_OF_NEUTROPHIL_CHEMOTAXIS</v>
      </c>
      <c r="C108" s="4">
        <v>35</v>
      </c>
      <c r="D108" s="3">
        <v>2.2909193000000001</v>
      </c>
      <c r="E108" s="1">
        <v>0</v>
      </c>
      <c r="F108" s="2">
        <v>0</v>
      </c>
    </row>
    <row r="109" spans="1:6" x14ac:dyDescent="0.25">
      <c r="A109" t="s">
        <v>6</v>
      </c>
      <c r="B109" s="5" t="str">
        <f>HYPERLINK("http://www.broadinstitute.org/gsea/msigdb/cards/GOBP_POSITIVE_REGULATION_OF_RESPONSE_TO_CYTOKINE_STIMULUS.html","GOBP_POSITIVE_REGULATION_OF_RESPONSE_TO_CYTOKINE_STIMULUS")</f>
        <v>GOBP_POSITIVE_REGULATION_OF_RESPONSE_TO_CYTOKINE_STIMULUS</v>
      </c>
      <c r="C109" s="4">
        <v>65</v>
      </c>
      <c r="D109" s="3">
        <v>2.2906666000000002</v>
      </c>
      <c r="E109" s="1">
        <v>0</v>
      </c>
      <c r="F109" s="2">
        <v>0</v>
      </c>
    </row>
    <row r="110" spans="1:6" x14ac:dyDescent="0.25">
      <c r="A110" t="s">
        <v>6</v>
      </c>
      <c r="B110" s="5" t="str">
        <f>HYPERLINK("http://www.broadinstitute.org/gsea/msigdb/cards/GOBP_ANTIGEN_PROCESSING_AND_PRESENTATION_OF_PEPTIDE_ANTIGEN.html","GOBP_ANTIGEN_PROCESSING_AND_PRESENTATION_OF_PEPTIDE_ANTIGEN")</f>
        <v>GOBP_ANTIGEN_PROCESSING_AND_PRESENTATION_OF_PEPTIDE_ANTIGEN</v>
      </c>
      <c r="C110" s="4">
        <v>63</v>
      </c>
      <c r="D110" s="3">
        <v>2.2841231999999998</v>
      </c>
      <c r="E110" s="1">
        <v>0</v>
      </c>
      <c r="F110" s="2">
        <v>0</v>
      </c>
    </row>
    <row r="111" spans="1:6" x14ac:dyDescent="0.25">
      <c r="A111" t="s">
        <v>6</v>
      </c>
      <c r="B111" s="5" t="str">
        <f>HYPERLINK("http://www.broadinstitute.org/gsea/msigdb/cards/GOBP_NEGATIVE_REGULATION_OF_LEUKOCYTE_MEDIATED_IMMUNITY.html","GOBP_NEGATIVE_REGULATION_OF_LEUKOCYTE_MEDIATED_IMMUNITY")</f>
        <v>GOBP_NEGATIVE_REGULATION_OF_LEUKOCYTE_MEDIATED_IMMUNITY</v>
      </c>
      <c r="C111" s="4">
        <v>81</v>
      </c>
      <c r="D111" s="3">
        <v>2.2822187</v>
      </c>
      <c r="E111" s="1">
        <v>0</v>
      </c>
      <c r="F111" s="2">
        <v>0</v>
      </c>
    </row>
    <row r="112" spans="1:6" x14ac:dyDescent="0.25">
      <c r="A112" t="s">
        <v>6</v>
      </c>
      <c r="B112" s="5" t="str">
        <f>HYPERLINK("http://www.broadinstitute.org/gsea/msigdb/cards/GOBP_CYTOSOLIC_PATTERN_RECOGNITION_RECEPTOR_SIGNALING_PATHWAY.html","GOBP_CYTOSOLIC_PATTERN_RECOGNITION_RECEPTOR_SIGNALING_PATHWAY")</f>
        <v>GOBP_CYTOSOLIC_PATTERN_RECOGNITION_RECEPTOR_SIGNALING_PATHWAY</v>
      </c>
      <c r="C112" s="4">
        <v>144</v>
      </c>
      <c r="D112" s="3">
        <v>2.2797356</v>
      </c>
      <c r="E112" s="1">
        <v>0</v>
      </c>
      <c r="F112" s="2">
        <v>0</v>
      </c>
    </row>
    <row r="113" spans="1:6" x14ac:dyDescent="0.25">
      <c r="A113" t="s">
        <v>6</v>
      </c>
      <c r="B113" s="5" t="str">
        <f>HYPERLINK("http://www.broadinstitute.org/gsea/msigdb/cards/GOBP_REGULATION_OF_T_CELL_MEDIATED_IMMUNITY.html","GOBP_REGULATION_OF_T_CELL_MEDIATED_IMMUNITY")</f>
        <v>GOBP_REGULATION_OF_T_CELL_MEDIATED_IMMUNITY</v>
      </c>
      <c r="C113" s="4">
        <v>99</v>
      </c>
      <c r="D113" s="3">
        <v>2.27874</v>
      </c>
      <c r="E113" s="1">
        <v>0</v>
      </c>
      <c r="F113" s="2">
        <v>0</v>
      </c>
    </row>
    <row r="114" spans="1:6" x14ac:dyDescent="0.25">
      <c r="A114" t="s">
        <v>6</v>
      </c>
      <c r="B114" s="5" t="str">
        <f>HYPERLINK("http://www.broadinstitute.org/gsea/msigdb/cards/GOBP_POSITIVE_REGULATION_OF_CHEMOKINE_PRODUCTION.html","GOBP_POSITIVE_REGULATION_OF_CHEMOKINE_PRODUCTION")</f>
        <v>GOBP_POSITIVE_REGULATION_OF_CHEMOKINE_PRODUCTION</v>
      </c>
      <c r="C114" s="4">
        <v>84</v>
      </c>
      <c r="D114" s="3">
        <v>2.2787175</v>
      </c>
      <c r="E114" s="1">
        <v>0</v>
      </c>
      <c r="F114" s="2">
        <v>0</v>
      </c>
    </row>
    <row r="115" spans="1:6" x14ac:dyDescent="0.25">
      <c r="A115" t="s">
        <v>6</v>
      </c>
      <c r="B115" s="5" t="str">
        <f>HYPERLINK("http://www.broadinstitute.org/gsea/msigdb/cards/GOBP_MACROPHAGE_ACTIVATION.html","GOBP_MACROPHAGE_ACTIVATION")</f>
        <v>GOBP_MACROPHAGE_ACTIVATION</v>
      </c>
      <c r="C115" s="4">
        <v>103</v>
      </c>
      <c r="D115" s="3">
        <v>2.2776895000000001</v>
      </c>
      <c r="E115" s="1">
        <v>0</v>
      </c>
      <c r="F115" s="2">
        <v>0</v>
      </c>
    </row>
    <row r="116" spans="1:6" x14ac:dyDescent="0.25">
      <c r="A116" t="s">
        <v>6</v>
      </c>
      <c r="B116" s="5" t="str">
        <f>HYPERLINK("http://www.broadinstitute.org/gsea/msigdb/cards/GOBP_PYROPTOSIS.html","GOBP_PYROPTOSIS")</f>
        <v>GOBP_PYROPTOSIS</v>
      </c>
      <c r="C116" s="4">
        <v>45</v>
      </c>
      <c r="D116" s="3">
        <v>2.2768839999999999</v>
      </c>
      <c r="E116" s="1">
        <v>0</v>
      </c>
      <c r="F116" s="2">
        <v>0</v>
      </c>
    </row>
    <row r="117" spans="1:6" x14ac:dyDescent="0.25">
      <c r="A117" t="s">
        <v>6</v>
      </c>
      <c r="B117" s="5" t="str">
        <f>HYPERLINK("http://www.broadinstitute.org/gsea/msigdb/cards/GOBP_NEUTROPHIL_ACTIVATION.html","GOBP_NEUTROPHIL_ACTIVATION")</f>
        <v>GOBP_NEUTROPHIL_ACTIVATION</v>
      </c>
      <c r="C117" s="4">
        <v>39</v>
      </c>
      <c r="D117" s="3">
        <v>2.2752693000000002</v>
      </c>
      <c r="E117" s="1">
        <v>0</v>
      </c>
      <c r="F117" s="2">
        <v>0</v>
      </c>
    </row>
    <row r="118" spans="1:6" x14ac:dyDescent="0.25">
      <c r="A118" t="s">
        <v>8</v>
      </c>
      <c r="B118" s="5" t="str">
        <f>HYPERLINK("http://www.broadinstitute.org/gsea/msigdb/cards/GOMF_CHEMOKINE_ACTIVITY.html","GOMF_CHEMOKINE_ACTIVITY")</f>
        <v>GOMF_CHEMOKINE_ACTIVITY</v>
      </c>
      <c r="C118" s="4">
        <v>35</v>
      </c>
      <c r="D118" s="3">
        <v>2.2740814999999999</v>
      </c>
      <c r="E118" s="1">
        <v>0</v>
      </c>
      <c r="F118" s="2">
        <v>0</v>
      </c>
    </row>
    <row r="119" spans="1:6" x14ac:dyDescent="0.25">
      <c r="A119" t="s">
        <v>6</v>
      </c>
      <c r="B119" s="5" t="str">
        <f>HYPERLINK("http://www.broadinstitute.org/gsea/msigdb/cards/GOBP_REGULATION_OF_PEPTIDYL_TYROSINE_PHOSPHORYLATION.html","GOBP_REGULATION_OF_PEPTIDYL_TYROSINE_PHOSPHORYLATION")</f>
        <v>GOBP_REGULATION_OF_PEPTIDYL_TYROSINE_PHOSPHORYLATION</v>
      </c>
      <c r="C119" s="4">
        <v>255</v>
      </c>
      <c r="D119" s="3">
        <v>2.2739525</v>
      </c>
      <c r="E119" s="1">
        <v>0</v>
      </c>
      <c r="F119" s="2">
        <v>0</v>
      </c>
    </row>
    <row r="120" spans="1:6" x14ac:dyDescent="0.25">
      <c r="A120" t="s">
        <v>6</v>
      </c>
      <c r="B120" s="5" t="str">
        <f>HYPERLINK("http://www.broadinstitute.org/gsea/msigdb/cards/GOBP_LEUKOCYTE_MEDIATED_CYTOTOXICITY.html","GOBP_LEUKOCYTE_MEDIATED_CYTOTOXICITY")</f>
        <v>GOBP_LEUKOCYTE_MEDIATED_CYTOTOXICITY</v>
      </c>
      <c r="C120" s="4">
        <v>149</v>
      </c>
      <c r="D120" s="3">
        <v>2.2730540000000001</v>
      </c>
      <c r="E120" s="1">
        <v>0</v>
      </c>
      <c r="F120" s="2">
        <v>0</v>
      </c>
    </row>
    <row r="121" spans="1:6" x14ac:dyDescent="0.25">
      <c r="A121" t="s">
        <v>6</v>
      </c>
      <c r="B121" s="5" t="str">
        <f>HYPERLINK("http://www.broadinstitute.org/gsea/msigdb/cards/GOBP_DEFENSE_RESPONSE_TO_GRAM_NEGATIVE_BACTERIUM.html","GOBP_DEFENSE_RESPONSE_TO_GRAM_NEGATIVE_BACTERIUM")</f>
        <v>GOBP_DEFENSE_RESPONSE_TO_GRAM_NEGATIVE_BACTERIUM</v>
      </c>
      <c r="C121" s="4">
        <v>72</v>
      </c>
      <c r="D121" s="3">
        <v>2.2729921000000002</v>
      </c>
      <c r="E121" s="1">
        <v>0</v>
      </c>
      <c r="F121" s="2">
        <v>0</v>
      </c>
    </row>
    <row r="122" spans="1:6" x14ac:dyDescent="0.25">
      <c r="A122" t="s">
        <v>6</v>
      </c>
      <c r="B122" s="5" t="str">
        <f>HYPERLINK("http://www.broadinstitute.org/gsea/msigdb/cards/GOBP_INTERLEUKIN_6_PRODUCTION.html","GOBP_INTERLEUKIN_6_PRODUCTION")</f>
        <v>GOBP_INTERLEUKIN_6_PRODUCTION</v>
      </c>
      <c r="C122" s="4">
        <v>179</v>
      </c>
      <c r="D122" s="3">
        <v>2.2720121999999998</v>
      </c>
      <c r="E122" s="1">
        <v>0</v>
      </c>
      <c r="F122" s="2">
        <v>0</v>
      </c>
    </row>
    <row r="123" spans="1:6" x14ac:dyDescent="0.25">
      <c r="A123" t="s">
        <v>6</v>
      </c>
      <c r="B123" s="5" t="str">
        <f>HYPERLINK("http://www.broadinstitute.org/gsea/msigdb/cards/GOBP_POSITIVE_REGULATION_OF_CD4_POSITIVE_ALPHA_BETA_T_CELL_ACTIVATION.html","GOBP_POSITIVE_REGULATION_OF_CD4_POSITIVE_ALPHA_BETA_T_CELL_ACTIVATION")</f>
        <v>GOBP_POSITIVE_REGULATION_OF_CD4_POSITIVE_ALPHA_BETA_T_CELL_ACTIVATION</v>
      </c>
      <c r="C123" s="4">
        <v>41</v>
      </c>
      <c r="D123" s="3">
        <v>2.2710216000000001</v>
      </c>
      <c r="E123" s="1">
        <v>0</v>
      </c>
      <c r="F123" s="2">
        <v>0</v>
      </c>
    </row>
    <row r="124" spans="1:6" x14ac:dyDescent="0.25">
      <c r="A124" t="s">
        <v>6</v>
      </c>
      <c r="B124" s="5" t="str">
        <f>HYPERLINK("http://www.broadinstitute.org/gsea/msigdb/cards/GOBP_REGULATION_OF_CELL_KILLING.html","GOBP_REGULATION_OF_CELL_KILLING")</f>
        <v>GOBP_REGULATION_OF_CELL_KILLING</v>
      </c>
      <c r="C124" s="4">
        <v>127</v>
      </c>
      <c r="D124" s="3">
        <v>2.2707427</v>
      </c>
      <c r="E124" s="1">
        <v>0</v>
      </c>
      <c r="F124" s="2">
        <v>0</v>
      </c>
    </row>
    <row r="125" spans="1:6" x14ac:dyDescent="0.25">
      <c r="A125" t="s">
        <v>8</v>
      </c>
      <c r="B125" s="5" t="str">
        <f>HYPERLINK("http://www.broadinstitute.org/gsea/msigdb/cards/GOMF_EXTRACELLULAR_MATRIX_STRUCTURAL_CONSTITUENT.html","GOMF_EXTRACELLULAR_MATRIX_STRUCTURAL_CONSTITUENT")</f>
        <v>GOMF_EXTRACELLULAR_MATRIX_STRUCTURAL_CONSTITUENT</v>
      </c>
      <c r="C125" s="4">
        <v>141</v>
      </c>
      <c r="D125" s="3">
        <v>2.2687650000000001</v>
      </c>
      <c r="E125" s="1">
        <v>0</v>
      </c>
      <c r="F125" s="2">
        <v>0</v>
      </c>
    </row>
    <row r="126" spans="1:6" x14ac:dyDescent="0.25">
      <c r="A126" t="s">
        <v>6</v>
      </c>
      <c r="B126" s="5" t="str">
        <f>HYPERLINK("http://www.broadinstitute.org/gsea/msigdb/cards/GOBP_NEGATIVE_REGULATION_OF_IMMUNE_EFFECTOR_PROCESS.html","GOBP_NEGATIVE_REGULATION_OF_IMMUNE_EFFECTOR_PROCESS")</f>
        <v>GOBP_NEGATIVE_REGULATION_OF_IMMUNE_EFFECTOR_PROCESS</v>
      </c>
      <c r="C126" s="4">
        <v>143</v>
      </c>
      <c r="D126" s="3">
        <v>2.2684160000000002</v>
      </c>
      <c r="E126" s="1">
        <v>0</v>
      </c>
      <c r="F126" s="2">
        <v>0</v>
      </c>
    </row>
    <row r="127" spans="1:6" x14ac:dyDescent="0.25">
      <c r="A127" t="s">
        <v>6</v>
      </c>
      <c r="B127" s="5" t="str">
        <f>HYPERLINK("http://www.broadinstitute.org/gsea/msigdb/cards/GOBP_POSITIVE_REGULATION_OF_INTERLEUKIN_1_PRODUCTION.html","GOBP_POSITIVE_REGULATION_OF_INTERLEUKIN_1_PRODUCTION")</f>
        <v>GOBP_POSITIVE_REGULATION_OF_INTERLEUKIN_1_PRODUCTION</v>
      </c>
      <c r="C127" s="4">
        <v>66</v>
      </c>
      <c r="D127" s="3">
        <v>2.2656078000000002</v>
      </c>
      <c r="E127" s="1">
        <v>0</v>
      </c>
      <c r="F127" s="2">
        <v>0</v>
      </c>
    </row>
    <row r="128" spans="1:6" x14ac:dyDescent="0.25">
      <c r="A128" t="s">
        <v>6</v>
      </c>
      <c r="B128" s="5" t="str">
        <f>HYPERLINK("http://www.broadinstitute.org/gsea/msigdb/cards/GOBP_POSITIVE_REGULATION_OF_VASCULATURE_DEVELOPMENT.html","GOBP_POSITIVE_REGULATION_OF_VASCULATURE_DEVELOPMENT")</f>
        <v>GOBP_POSITIVE_REGULATION_OF_VASCULATURE_DEVELOPMENT</v>
      </c>
      <c r="C128" s="4">
        <v>175</v>
      </c>
      <c r="D128" s="3">
        <v>2.2625592000000001</v>
      </c>
      <c r="E128" s="1">
        <v>0</v>
      </c>
      <c r="F128" s="2">
        <v>0</v>
      </c>
    </row>
    <row r="129" spans="1:6" x14ac:dyDescent="0.25">
      <c r="A129" t="s">
        <v>6</v>
      </c>
      <c r="B129" s="5" t="str">
        <f>HYPERLINK("http://www.broadinstitute.org/gsea/msigdb/cards/GOBP_REGULATION_OF_MYELOID_LEUKOCYTE_MEDIATED_IMMUNITY.html","GOBP_REGULATION_OF_MYELOID_LEUKOCYTE_MEDIATED_IMMUNITY")</f>
        <v>GOBP_REGULATION_OF_MYELOID_LEUKOCYTE_MEDIATED_IMMUNITY</v>
      </c>
      <c r="C129" s="4">
        <v>81</v>
      </c>
      <c r="D129" s="3">
        <v>2.2618105000000002</v>
      </c>
      <c r="E129" s="1">
        <v>0</v>
      </c>
      <c r="F129" s="2">
        <v>0</v>
      </c>
    </row>
    <row r="130" spans="1:6" x14ac:dyDescent="0.25">
      <c r="A130" t="s">
        <v>6</v>
      </c>
      <c r="B130" s="5" t="str">
        <f>HYPERLINK("http://www.broadinstitute.org/gsea/msigdb/cards/GOBP_POSITIVE_REGULATION_OF_CD4_POSITIVE_ALPHA_BETA_T_CELL_DIFFERENTIATION.html","GOBP_POSITIVE_REGULATION_OF_CD4_POSITIVE_ALPHA_BETA_T_CELL_DIFFERENTIATION")</f>
        <v>GOBP_POSITIVE_REGULATION_OF_CD4_POSITIVE_ALPHA_BETA_T_CELL_DIFFERENTIATION</v>
      </c>
      <c r="C130" s="4">
        <v>30</v>
      </c>
      <c r="D130" s="3">
        <v>2.2591424</v>
      </c>
      <c r="E130" s="1">
        <v>0</v>
      </c>
      <c r="F130" s="2">
        <v>0</v>
      </c>
    </row>
    <row r="131" spans="1:6" x14ac:dyDescent="0.25">
      <c r="A131" t="s">
        <v>6</v>
      </c>
      <c r="B131" s="5" t="str">
        <f>HYPERLINK("http://www.broadinstitute.org/gsea/msigdb/cards/GOBP_CELLULAR_RESPONSE_TO_INTERLEUKIN_1.html","GOBP_CELLULAR_RESPONSE_TO_INTERLEUKIN_1")</f>
        <v>GOBP_CELLULAR_RESPONSE_TO_INTERLEUKIN_1</v>
      </c>
      <c r="C131" s="4">
        <v>78</v>
      </c>
      <c r="D131" s="3">
        <v>2.2587953000000001</v>
      </c>
      <c r="E131" s="1">
        <v>0</v>
      </c>
      <c r="F131" s="2">
        <v>0</v>
      </c>
    </row>
    <row r="132" spans="1:6" x14ac:dyDescent="0.25">
      <c r="A132" t="s">
        <v>6</v>
      </c>
      <c r="B132" s="5" t="str">
        <f>HYPERLINK("http://www.broadinstitute.org/gsea/msigdb/cards/GOBP_GRANULOCYTE_ACTIVATION.html","GOBP_GRANULOCYTE_ACTIVATION")</f>
        <v>GOBP_GRANULOCYTE_ACTIVATION</v>
      </c>
      <c r="C132" s="4">
        <v>47</v>
      </c>
      <c r="D132" s="3">
        <v>2.2580507000000001</v>
      </c>
      <c r="E132" s="1">
        <v>0</v>
      </c>
      <c r="F132" s="2">
        <v>0</v>
      </c>
    </row>
    <row r="133" spans="1:6" x14ac:dyDescent="0.25">
      <c r="A133" t="s">
        <v>6</v>
      </c>
      <c r="B133" s="5" t="str">
        <f>HYPERLINK("http://www.broadinstitute.org/gsea/msigdb/cards/GOBP_IMMUNE_RESPONSE_REGULATING_SIGNALING_PATHWAY.html","GOBP_IMMUNE_RESPONSE_REGULATING_SIGNALING_PATHWAY")</f>
        <v>GOBP_IMMUNE_RESPONSE_REGULATING_SIGNALING_PATHWAY</v>
      </c>
      <c r="C133" s="4">
        <v>428</v>
      </c>
      <c r="D133" s="3">
        <v>2.2569685000000002</v>
      </c>
      <c r="E133" s="1">
        <v>0</v>
      </c>
      <c r="F133" s="2">
        <v>0</v>
      </c>
    </row>
    <row r="134" spans="1:6" x14ac:dyDescent="0.25">
      <c r="A134" t="s">
        <v>6</v>
      </c>
      <c r="B134" s="5" t="str">
        <f>HYPERLINK("http://www.broadinstitute.org/gsea/msigdb/cards/GOBP_REGULATION_OF_LYMPHOCYTE_MEDIATED_IMMUNITY.html","GOBP_REGULATION_OF_LYMPHOCYTE_MEDIATED_IMMUNITY")</f>
        <v>GOBP_REGULATION_OF_LYMPHOCYTE_MEDIATED_IMMUNITY</v>
      </c>
      <c r="C134" s="4">
        <v>198</v>
      </c>
      <c r="D134" s="3">
        <v>2.2543902</v>
      </c>
      <c r="E134" s="1">
        <v>0</v>
      </c>
      <c r="F134" s="2">
        <v>0</v>
      </c>
    </row>
    <row r="135" spans="1:6" x14ac:dyDescent="0.25">
      <c r="A135" t="s">
        <v>6</v>
      </c>
      <c r="B135" s="5" t="str">
        <f>HYPERLINK("http://www.broadinstitute.org/gsea/msigdb/cards/GOBP_ANTIGEN_PROCESSING_AND_PRESENTATION_OF_EXOGENOUS_PEPTIDE_ANTIGEN_VIA_MHC_CLASS_II.html","GOBP_ANTIGEN_PROCESSING_AND_PRESENTATION_OF_EXOGENOUS_PEPTIDE_ANTIGEN_VIA_MHC_CLASS_II")</f>
        <v>GOBP_ANTIGEN_PROCESSING_AND_PRESENTATION_OF_EXOGENOUS_PEPTIDE_ANTIGEN_VIA_MHC_CLASS_II</v>
      </c>
      <c r="C135" s="4">
        <v>19</v>
      </c>
      <c r="D135" s="3">
        <v>2.2532391999999999</v>
      </c>
      <c r="E135" s="1">
        <v>0</v>
      </c>
      <c r="F135" s="2">
        <v>0</v>
      </c>
    </row>
    <row r="136" spans="1:6" x14ac:dyDescent="0.25">
      <c r="A136" t="s">
        <v>6</v>
      </c>
      <c r="B136" s="5" t="str">
        <f>HYPERLINK("http://www.broadinstitute.org/gsea/msigdb/cards/GOBP_POSITIVE_REGULATION_OF_TYPE_II_INTERFERON_PRODUCTION.html","GOBP_POSITIVE_REGULATION_OF_TYPE_II_INTERFERON_PRODUCTION")</f>
        <v>GOBP_POSITIVE_REGULATION_OF_TYPE_II_INTERFERON_PRODUCTION</v>
      </c>
      <c r="C136" s="4">
        <v>82</v>
      </c>
      <c r="D136" s="3">
        <v>2.2530106999999999</v>
      </c>
      <c r="E136" s="1">
        <v>0</v>
      </c>
      <c r="F136" s="2">
        <v>0</v>
      </c>
    </row>
    <row r="137" spans="1:6" x14ac:dyDescent="0.25">
      <c r="A137" t="s">
        <v>6</v>
      </c>
      <c r="B137" s="5" t="str">
        <f>HYPERLINK("http://www.broadinstitute.org/gsea/msigdb/cards/GOBP_LYMPHOCYTE_MIGRATION.html","GOBP_LYMPHOCYTE_MIGRATION")</f>
        <v>GOBP_LYMPHOCYTE_MIGRATION</v>
      </c>
      <c r="C137" s="4">
        <v>106</v>
      </c>
      <c r="D137" s="3">
        <v>2.2516989999999999</v>
      </c>
      <c r="E137" s="1">
        <v>0</v>
      </c>
      <c r="F137" s="2">
        <v>0</v>
      </c>
    </row>
    <row r="138" spans="1:6" x14ac:dyDescent="0.25">
      <c r="A138" t="s">
        <v>6</v>
      </c>
      <c r="B138" s="5" t="str">
        <f>HYPERLINK("http://www.broadinstitute.org/gsea/msigdb/cards/GOBP_RESPONSE_TO_PROTOZOAN.html","GOBP_RESPONSE_TO_PROTOZOAN")</f>
        <v>GOBP_RESPONSE_TO_PROTOZOAN</v>
      </c>
      <c r="C138" s="4">
        <v>45</v>
      </c>
      <c r="D138" s="3">
        <v>2.2515871999999999</v>
      </c>
      <c r="E138" s="1">
        <v>0</v>
      </c>
      <c r="F138" s="2">
        <v>0</v>
      </c>
    </row>
    <row r="139" spans="1:6" x14ac:dyDescent="0.25">
      <c r="A139" t="s">
        <v>6</v>
      </c>
      <c r="B139" s="5" t="str">
        <f>HYPERLINK("http://www.broadinstitute.org/gsea/msigdb/cards/GOBP_POSITIVE_REGULATION_OF_CYTOKINE_PRODUCTION_INVOLVED_IN_IMMUNE_RESPONSE.html","GOBP_POSITIVE_REGULATION_OF_CYTOKINE_PRODUCTION_INVOLVED_IN_IMMUNE_RESPONSE")</f>
        <v>GOBP_POSITIVE_REGULATION_OF_CYTOKINE_PRODUCTION_INVOLVED_IN_IMMUNE_RESPONSE</v>
      </c>
      <c r="C139" s="4">
        <v>98</v>
      </c>
      <c r="D139" s="3">
        <v>2.2506887999999998</v>
      </c>
      <c r="E139" s="1">
        <v>0</v>
      </c>
      <c r="F139" s="2">
        <v>0</v>
      </c>
    </row>
    <row r="140" spans="1:6" x14ac:dyDescent="0.25">
      <c r="A140" t="s">
        <v>6</v>
      </c>
      <c r="B140" s="5" t="str">
        <f>HYPERLINK("http://www.broadinstitute.org/gsea/msigdb/cards/GOBP_NUCLEOTIDE_BINDING_DOMAIN_LEUCINE_RICH_REPEAT_CONTAINING_RECEPTOR_SIGNALING_PATHWAY.html","GOBP_NUCLEOTIDE_BINDING_DOMAIN_LEUCINE_RICH_REPEAT_CONTAINING_RECEPTOR_SIGNALING_PATHWAY")</f>
        <v>GOBP_NUCLEOTIDE_BINDING_DOMAIN_LEUCINE_RICH_REPEAT_CONTAINING_RECEPTOR_SIGNALING_PATHWAY</v>
      </c>
      <c r="C140" s="4">
        <v>22</v>
      </c>
      <c r="D140" s="3">
        <v>2.2501837999999998</v>
      </c>
      <c r="E140" s="1">
        <v>0</v>
      </c>
      <c r="F140" s="2">
        <v>0</v>
      </c>
    </row>
    <row r="141" spans="1:6" x14ac:dyDescent="0.25">
      <c r="A141" t="s">
        <v>6</v>
      </c>
      <c r="B141" s="5" t="str">
        <f>HYPERLINK("http://www.broadinstitute.org/gsea/msigdb/cards/GOBP_REGULATION_OF_MACROPHAGE_MIGRATION.html","GOBP_REGULATION_OF_MACROPHAGE_MIGRATION")</f>
        <v>GOBP_REGULATION_OF_MACROPHAGE_MIGRATION</v>
      </c>
      <c r="C141" s="4">
        <v>47</v>
      </c>
      <c r="D141" s="3">
        <v>2.2482731</v>
      </c>
      <c r="E141" s="1">
        <v>0</v>
      </c>
      <c r="F141" s="2">
        <v>0</v>
      </c>
    </row>
    <row r="142" spans="1:6" x14ac:dyDescent="0.25">
      <c r="A142" t="s">
        <v>6</v>
      </c>
      <c r="B142" s="5" t="str">
        <f>HYPERLINK("http://www.broadinstitute.org/gsea/msigdb/cards/GOBP_NEUROINFLAMMATORY_RESPONSE.html","GOBP_NEUROINFLAMMATORY_RESPONSE")</f>
        <v>GOBP_NEUROINFLAMMATORY_RESPONSE</v>
      </c>
      <c r="C142" s="4">
        <v>82</v>
      </c>
      <c r="D142" s="3">
        <v>2.2461011000000002</v>
      </c>
      <c r="E142" s="1">
        <v>0</v>
      </c>
      <c r="F142" s="2">
        <v>0</v>
      </c>
    </row>
    <row r="143" spans="1:6" x14ac:dyDescent="0.25">
      <c r="A143" t="s">
        <v>6</v>
      </c>
      <c r="B143" s="5" t="str">
        <f>HYPERLINK("http://www.broadinstitute.org/gsea/msigdb/cards/GOBP_POSITIVE_REGULATION_OF_LEUKOCYTE_MEDIATED_IMMUNITY.html","GOBP_POSITIVE_REGULATION_OF_LEUKOCYTE_MEDIATED_IMMUNITY")</f>
        <v>GOBP_POSITIVE_REGULATION_OF_LEUKOCYTE_MEDIATED_IMMUNITY</v>
      </c>
      <c r="C143" s="4">
        <v>163</v>
      </c>
      <c r="D143" s="3">
        <v>2.2459582999999999</v>
      </c>
      <c r="E143" s="1">
        <v>0</v>
      </c>
      <c r="F143" s="2">
        <v>0</v>
      </c>
    </row>
    <row r="144" spans="1:6" x14ac:dyDescent="0.25">
      <c r="A144" t="s">
        <v>6</v>
      </c>
      <c r="B144" s="5" t="str">
        <f>HYPERLINK("http://www.broadinstitute.org/gsea/msigdb/cards/GOBP_PHAGOCYTOSIS_ENGULFMENT.html","GOBP_PHAGOCYTOSIS_ENGULFMENT")</f>
        <v>GOBP_PHAGOCYTOSIS_ENGULFMENT</v>
      </c>
      <c r="C144" s="4">
        <v>58</v>
      </c>
      <c r="D144" s="3">
        <v>2.2421494000000002</v>
      </c>
      <c r="E144" s="1">
        <v>0</v>
      </c>
      <c r="F144" s="2">
        <v>0</v>
      </c>
    </row>
    <row r="145" spans="1:6" x14ac:dyDescent="0.25">
      <c r="A145" t="s">
        <v>6</v>
      </c>
      <c r="B145" s="5" t="str">
        <f>HYPERLINK("http://www.broadinstitute.org/gsea/msigdb/cards/GOBP_HEMOSTASIS.html","GOBP_HEMOSTASIS")</f>
        <v>GOBP_HEMOSTASIS</v>
      </c>
      <c r="C145" s="4">
        <v>179</v>
      </c>
      <c r="D145" s="3">
        <v>2.2412117</v>
      </c>
      <c r="E145" s="1">
        <v>0</v>
      </c>
      <c r="F145" s="2">
        <v>0</v>
      </c>
    </row>
    <row r="146" spans="1:6" x14ac:dyDescent="0.25">
      <c r="A146" t="s">
        <v>6</v>
      </c>
      <c r="B146" s="5" t="str">
        <f>HYPERLINK("http://www.broadinstitute.org/gsea/msigdb/cards/GOBP_CELL_ADHESION_MEDIATED_BY_INTEGRIN.html","GOBP_CELL_ADHESION_MEDIATED_BY_INTEGRIN")</f>
        <v>GOBP_CELL_ADHESION_MEDIATED_BY_INTEGRIN</v>
      </c>
      <c r="C146" s="4">
        <v>87</v>
      </c>
      <c r="D146" s="3">
        <v>2.2411534999999998</v>
      </c>
      <c r="E146" s="1">
        <v>0</v>
      </c>
      <c r="F146" s="2">
        <v>0</v>
      </c>
    </row>
    <row r="147" spans="1:6" x14ac:dyDescent="0.25">
      <c r="A147" t="s">
        <v>6</v>
      </c>
      <c r="B147" s="5" t="str">
        <f>HYPERLINK("http://www.broadinstitute.org/gsea/msigdb/cards/GOBP_POSITIVE_REGULATION_OF_MACROPHAGE_ACTIVATION.html","GOBP_POSITIVE_REGULATION_OF_MACROPHAGE_ACTIVATION")</f>
        <v>GOBP_POSITIVE_REGULATION_OF_MACROPHAGE_ACTIVATION</v>
      </c>
      <c r="C147" s="4">
        <v>29</v>
      </c>
      <c r="D147" s="3">
        <v>2.2409427000000002</v>
      </c>
      <c r="E147" s="1">
        <v>0</v>
      </c>
      <c r="F147" s="2">
        <v>0</v>
      </c>
    </row>
    <row r="148" spans="1:6" x14ac:dyDescent="0.25">
      <c r="A148" t="s">
        <v>6</v>
      </c>
      <c r="B148" s="5" t="str">
        <f>HYPERLINK("http://www.broadinstitute.org/gsea/msigdb/cards/GOBP_REGULATION_OF_LYMPHOCYTE_MIGRATION.html","GOBP_REGULATION_OF_LYMPHOCYTE_MIGRATION")</f>
        <v>GOBP_REGULATION_OF_LYMPHOCYTE_MIGRATION</v>
      </c>
      <c r="C148" s="4">
        <v>65</v>
      </c>
      <c r="D148" s="3">
        <v>2.2396579999999999</v>
      </c>
      <c r="E148" s="1">
        <v>0</v>
      </c>
      <c r="F148" s="2">
        <v>0</v>
      </c>
    </row>
    <row r="149" spans="1:6" x14ac:dyDescent="0.25">
      <c r="A149" t="s">
        <v>6</v>
      </c>
      <c r="B149" s="5" t="str">
        <f>HYPERLINK("http://www.broadinstitute.org/gsea/msigdb/cards/GOBP_REGULATION_OF_VASCULATURE_DEVELOPMENT.html","GOBP_REGULATION_OF_VASCULATURE_DEVELOPMENT")</f>
        <v>GOBP_REGULATION_OF_VASCULATURE_DEVELOPMENT</v>
      </c>
      <c r="C149" s="4">
        <v>302</v>
      </c>
      <c r="D149" s="3">
        <v>2.2380116000000001</v>
      </c>
      <c r="E149" s="1">
        <v>0</v>
      </c>
      <c r="F149" s="2">
        <v>0</v>
      </c>
    </row>
    <row r="150" spans="1:6" x14ac:dyDescent="0.25">
      <c r="A150" t="s">
        <v>6</v>
      </c>
      <c r="B150" s="5" t="str">
        <f>HYPERLINK("http://www.broadinstitute.org/gsea/msigdb/cards/GOBP_MACROPHAGE_MIGRATION.html","GOBP_MACROPHAGE_MIGRATION")</f>
        <v>GOBP_MACROPHAGE_MIGRATION</v>
      </c>
      <c r="C150" s="4">
        <v>65</v>
      </c>
      <c r="D150" s="3">
        <v>2.2373501999999998</v>
      </c>
      <c r="E150" s="1">
        <v>0</v>
      </c>
      <c r="F150" s="2">
        <v>0</v>
      </c>
    </row>
    <row r="151" spans="1:6" x14ac:dyDescent="0.25">
      <c r="A151" t="s">
        <v>10</v>
      </c>
      <c r="B151" s="5" t="str">
        <f>HYPERLINK("http://www.broadinstitute.org/gsea/msigdb/cards/REACTOME_COLLAGEN_FORMATION.html","REACTOME_COLLAGEN_FORMATION")</f>
        <v>REACTOME_COLLAGEN_FORMATION</v>
      </c>
      <c r="C151" s="4">
        <v>77</v>
      </c>
      <c r="D151" s="3">
        <v>2.2366880999999998</v>
      </c>
      <c r="E151" s="1">
        <v>0</v>
      </c>
      <c r="F151" s="2">
        <v>0</v>
      </c>
    </row>
    <row r="152" spans="1:6" x14ac:dyDescent="0.25">
      <c r="A152" t="s">
        <v>8</v>
      </c>
      <c r="B152" s="5" t="str">
        <f>HYPERLINK("http://www.broadinstitute.org/gsea/msigdb/cards/GOMF_PEPTIDASE_ACTIVATOR_ACTIVITY.html","GOMF_PEPTIDASE_ACTIVATOR_ACTIVITY")</f>
        <v>GOMF_PEPTIDASE_ACTIVATOR_ACTIVITY</v>
      </c>
      <c r="C152" s="4">
        <v>53</v>
      </c>
      <c r="D152" s="3">
        <v>2.2355955000000001</v>
      </c>
      <c r="E152" s="1">
        <v>0</v>
      </c>
      <c r="F152" s="2">
        <v>0</v>
      </c>
    </row>
    <row r="153" spans="1:6" x14ac:dyDescent="0.25">
      <c r="A153" t="s">
        <v>6</v>
      </c>
      <c r="B153" s="5" t="str">
        <f>HYPERLINK("http://www.broadinstitute.org/gsea/msigdb/cards/GOBP_REGULATION_OF_T_CELL_MIGRATION.html","GOBP_REGULATION_OF_T_CELL_MIGRATION")</f>
        <v>GOBP_REGULATION_OF_T_CELL_MIGRATION</v>
      </c>
      <c r="C153" s="4">
        <v>50</v>
      </c>
      <c r="D153" s="3">
        <v>2.2355018000000002</v>
      </c>
      <c r="E153" s="1">
        <v>0</v>
      </c>
      <c r="F153" s="2">
        <v>0</v>
      </c>
    </row>
    <row r="154" spans="1:6" x14ac:dyDescent="0.25">
      <c r="A154" t="s">
        <v>7</v>
      </c>
      <c r="B154" s="5" t="str">
        <f>HYPERLINK("http://www.broadinstitute.org/gsea/msigdb/cards/GOCC_PHAGOCYTIC_VESICLE_MEMBRANE.html","GOCC_PHAGOCYTIC_VESICLE_MEMBRANE")</f>
        <v>GOCC_PHAGOCYTIC_VESICLE_MEMBRANE</v>
      </c>
      <c r="C154" s="4">
        <v>23</v>
      </c>
      <c r="D154" s="3">
        <v>2.2338795999999999</v>
      </c>
      <c r="E154" s="1">
        <v>0</v>
      </c>
      <c r="F154" s="2">
        <v>0</v>
      </c>
    </row>
    <row r="155" spans="1:6" x14ac:dyDescent="0.25">
      <c r="A155" t="s">
        <v>6</v>
      </c>
      <c r="B155" s="5" t="str">
        <f>HYPERLINK("http://www.broadinstitute.org/gsea/msigdb/cards/GOBP_MYELOID_LEUKOCYTE_CYTOKINE_PRODUCTION.html","GOBP_MYELOID_LEUKOCYTE_CYTOKINE_PRODUCTION")</f>
        <v>GOBP_MYELOID_LEUKOCYTE_CYTOKINE_PRODUCTION</v>
      </c>
      <c r="C155" s="4">
        <v>66</v>
      </c>
      <c r="D155" s="3">
        <v>2.2298781999999999</v>
      </c>
      <c r="E155" s="1">
        <v>0</v>
      </c>
      <c r="F155" s="2">
        <v>0</v>
      </c>
    </row>
    <row r="156" spans="1:6" x14ac:dyDescent="0.25">
      <c r="A156" t="s">
        <v>6</v>
      </c>
      <c r="B156" s="5" t="str">
        <f>HYPERLINK("http://www.broadinstitute.org/gsea/msigdb/cards/GOBP_POSITIVE_REGULATION_OF_INTERLEUKIN_1_BETA_PRODUCTION.html","GOBP_POSITIVE_REGULATION_OF_INTERLEUKIN_1_BETA_PRODUCTION")</f>
        <v>GOBP_POSITIVE_REGULATION_OF_INTERLEUKIN_1_BETA_PRODUCTION</v>
      </c>
      <c r="C156" s="4">
        <v>56</v>
      </c>
      <c r="D156" s="3">
        <v>2.2263907999999999</v>
      </c>
      <c r="E156" s="1">
        <v>0</v>
      </c>
      <c r="F156" s="2">
        <v>0</v>
      </c>
    </row>
    <row r="157" spans="1:6" x14ac:dyDescent="0.25">
      <c r="A157" t="s">
        <v>6</v>
      </c>
      <c r="B157" s="5" t="str">
        <f>HYPERLINK("http://www.broadinstitute.org/gsea/msigdb/cards/GOBP_PEPTIDYL_TYROSINE_MODIFICATION.html","GOBP_PEPTIDYL_TYROSINE_MODIFICATION")</f>
        <v>GOBP_PEPTIDYL_TYROSINE_MODIFICATION</v>
      </c>
      <c r="C157" s="4">
        <v>312</v>
      </c>
      <c r="D157" s="3">
        <v>2.2246465999999998</v>
      </c>
      <c r="E157" s="1">
        <v>0</v>
      </c>
      <c r="F157" s="2">
        <v>0</v>
      </c>
    </row>
    <row r="158" spans="1:6" x14ac:dyDescent="0.25">
      <c r="A158" t="s">
        <v>6</v>
      </c>
      <c r="B158" s="5" t="str">
        <f>HYPERLINK("http://www.broadinstitute.org/gsea/msigdb/cards/GOBP_REGULATION_OF_CHEMOTAXIS.html","GOBP_REGULATION_OF_CHEMOTAXIS")</f>
        <v>GOBP_REGULATION_OF_CHEMOTAXIS</v>
      </c>
      <c r="C158" s="4">
        <v>228</v>
      </c>
      <c r="D158" s="3">
        <v>2.2233635999999999</v>
      </c>
      <c r="E158" s="1">
        <v>0</v>
      </c>
      <c r="F158" s="2">
        <v>0</v>
      </c>
    </row>
    <row r="159" spans="1:6" x14ac:dyDescent="0.25">
      <c r="A159" t="s">
        <v>6</v>
      </c>
      <c r="B159" s="5" t="str">
        <f>HYPERLINK("http://www.broadinstitute.org/gsea/msigdb/cards/GOBP_POSITIVE_REGULATION_OF_NITRIC_OXIDE_METABOLIC_PROCESS.html","GOBP_POSITIVE_REGULATION_OF_NITRIC_OXIDE_METABOLIC_PROCESS")</f>
        <v>GOBP_POSITIVE_REGULATION_OF_NITRIC_OXIDE_METABOLIC_PROCESS</v>
      </c>
      <c r="C159" s="4">
        <v>51</v>
      </c>
      <c r="D159" s="3">
        <v>2.2200327</v>
      </c>
      <c r="E159" s="1">
        <v>0</v>
      </c>
      <c r="F159" s="2">
        <v>0</v>
      </c>
    </row>
    <row r="160" spans="1:6" x14ac:dyDescent="0.25">
      <c r="A160" t="s">
        <v>6</v>
      </c>
      <c r="B160" s="5" t="str">
        <f>HYPERLINK("http://www.broadinstitute.org/gsea/msigdb/cards/GOBP_REGULATION_OF_LEUKOCYTE_PROLIFERATION.html","GOBP_REGULATION_OF_LEUKOCYTE_PROLIFERATION")</f>
        <v>GOBP_REGULATION_OF_LEUKOCYTE_PROLIFERATION</v>
      </c>
      <c r="C160" s="4">
        <v>292</v>
      </c>
      <c r="D160" s="3">
        <v>2.2190075</v>
      </c>
      <c r="E160" s="1">
        <v>0</v>
      </c>
      <c r="F160" s="2">
        <v>0</v>
      </c>
    </row>
    <row r="161" spans="1:6" x14ac:dyDescent="0.25">
      <c r="A161" t="s">
        <v>6</v>
      </c>
      <c r="B161" s="5" t="str">
        <f>HYPERLINK("http://www.broadinstitute.org/gsea/msigdb/cards/GOBP_PRODUCTION_OF_MOLECULAR_MEDIATOR_OF_IMMUNE_RESPONSE.html","GOBP_PRODUCTION_OF_MOLECULAR_MEDIATOR_OF_IMMUNE_RESPONSE")</f>
        <v>GOBP_PRODUCTION_OF_MOLECULAR_MEDIATOR_OF_IMMUNE_RESPONSE</v>
      </c>
      <c r="C161" s="4">
        <v>287</v>
      </c>
      <c r="D161" s="3">
        <v>2.2185546999999999</v>
      </c>
      <c r="E161" s="1">
        <v>0</v>
      </c>
      <c r="F161" s="2">
        <v>0</v>
      </c>
    </row>
    <row r="162" spans="1:6" x14ac:dyDescent="0.25">
      <c r="A162" t="s">
        <v>6</v>
      </c>
      <c r="B162" s="5" t="str">
        <f>HYPERLINK("http://www.broadinstitute.org/gsea/msigdb/cards/GOBP_MONOCYTE_CHEMOTAXIS.html","GOBP_MONOCYTE_CHEMOTAXIS")</f>
        <v>GOBP_MONOCYTE_CHEMOTAXIS</v>
      </c>
      <c r="C162" s="4">
        <v>56</v>
      </c>
      <c r="D162" s="3">
        <v>2.2177432000000001</v>
      </c>
      <c r="E162" s="1">
        <v>0</v>
      </c>
      <c r="F162" s="2">
        <v>0</v>
      </c>
    </row>
    <row r="163" spans="1:6" x14ac:dyDescent="0.25">
      <c r="A163" t="s">
        <v>6</v>
      </c>
      <c r="B163" s="5" t="str">
        <f>HYPERLINK("http://www.broadinstitute.org/gsea/msigdb/cards/GOBP_POSITIVE_REGULATION_OF_ALPHA_BETA_T_CELL_ACTIVATION.html","GOBP_POSITIVE_REGULATION_OF_ALPHA_BETA_T_CELL_ACTIVATION")</f>
        <v>GOBP_POSITIVE_REGULATION_OF_ALPHA_BETA_T_CELL_ACTIVATION</v>
      </c>
      <c r="C163" s="4">
        <v>87</v>
      </c>
      <c r="D163" s="3">
        <v>2.2164391999999999</v>
      </c>
      <c r="E163" s="1">
        <v>0</v>
      </c>
      <c r="F163" s="2">
        <v>0</v>
      </c>
    </row>
    <row r="164" spans="1:6" x14ac:dyDescent="0.25">
      <c r="A164" t="s">
        <v>11</v>
      </c>
      <c r="B164" s="5" t="str">
        <f>HYPERLINK("http://www.broadinstitute.org/gsea/msigdb/cards/WP_CHEMOKINE_SIGNALING_PATHWAY.html","WP_CHEMOKINE_SIGNALING_PATHWAY")</f>
        <v>WP_CHEMOKINE_SIGNALING_PATHWAY</v>
      </c>
      <c r="C164" s="4">
        <v>169</v>
      </c>
      <c r="D164" s="3">
        <v>2.2139397000000001</v>
      </c>
      <c r="E164" s="1">
        <v>0</v>
      </c>
      <c r="F164" s="2">
        <v>6.6213246999999998E-6</v>
      </c>
    </row>
    <row r="165" spans="1:6" x14ac:dyDescent="0.25">
      <c r="A165" t="s">
        <v>8</v>
      </c>
      <c r="B165" s="5" t="str">
        <f>HYPERLINK("http://www.broadinstitute.org/gsea/msigdb/cards/GOMF_CYTOKINE_RECEPTOR_BINDING.html","GOMF_CYTOKINE_RECEPTOR_BINDING")</f>
        <v>GOMF_CYTOKINE_RECEPTOR_BINDING</v>
      </c>
      <c r="C165" s="4">
        <v>253</v>
      </c>
      <c r="D165" s="3">
        <v>2.2123813999999999</v>
      </c>
      <c r="E165" s="1">
        <v>0</v>
      </c>
      <c r="F165" s="2">
        <v>6.5804525E-6</v>
      </c>
    </row>
    <row r="166" spans="1:6" x14ac:dyDescent="0.25">
      <c r="A166" t="s">
        <v>6</v>
      </c>
      <c r="B166" s="5" t="str">
        <f>HYPERLINK("http://www.broadinstitute.org/gsea/msigdb/cards/GOBP_POSITIVE_REGULATION_OF_CELL_KILLING.html","GOBP_POSITIVE_REGULATION_OF_CELL_KILLING")</f>
        <v>GOBP_POSITIVE_REGULATION_OF_CELL_KILLING</v>
      </c>
      <c r="C166" s="4">
        <v>88</v>
      </c>
      <c r="D166" s="3">
        <v>2.2112560000000001</v>
      </c>
      <c r="E166" s="1">
        <v>0</v>
      </c>
      <c r="F166" s="2">
        <v>6.5400813999999997E-6</v>
      </c>
    </row>
    <row r="167" spans="1:6" x14ac:dyDescent="0.25">
      <c r="A167" t="s">
        <v>6</v>
      </c>
      <c r="B167" s="5" t="str">
        <f>HYPERLINK("http://www.broadinstitute.org/gsea/msigdb/cards/GOBP_ENDOTHELIAL_CELL_PROLIFERATION.html","GOBP_ENDOTHELIAL_CELL_PROLIFERATION")</f>
        <v>GOBP_ENDOTHELIAL_CELL_PROLIFERATION</v>
      </c>
      <c r="C167" s="4">
        <v>170</v>
      </c>
      <c r="D167" s="3">
        <v>2.2092196999999998</v>
      </c>
      <c r="E167" s="1">
        <v>0</v>
      </c>
      <c r="F167" s="2">
        <v>6.5002027000000001E-6</v>
      </c>
    </row>
    <row r="168" spans="1:6" x14ac:dyDescent="0.25">
      <c r="A168" t="s">
        <v>11</v>
      </c>
      <c r="B168" s="5" t="str">
        <f>HYPERLINK("http://www.broadinstitute.org/gsea/msigdb/cards/WP_KIT_RECEPTOR_SIGNALING_PATHWAY.html","WP_KIT_RECEPTOR_SIGNALING_PATHWAY")</f>
        <v>WP_KIT_RECEPTOR_SIGNALING_PATHWAY</v>
      </c>
      <c r="C168" s="4">
        <v>67</v>
      </c>
      <c r="D168" s="3">
        <v>2.2085970000000001</v>
      </c>
      <c r="E168" s="1">
        <v>0</v>
      </c>
      <c r="F168" s="2">
        <v>6.4608074999999997E-6</v>
      </c>
    </row>
    <row r="169" spans="1:6" x14ac:dyDescent="0.25">
      <c r="A169" t="s">
        <v>6</v>
      </c>
      <c r="B169" s="5" t="str">
        <f>HYPERLINK("http://www.broadinstitute.org/gsea/msigdb/cards/GOBP_LEUKOCYTE_ADHESION_TO_VASCULAR_ENDOTHELIAL_CELL.html","GOBP_LEUKOCYTE_ADHESION_TO_VASCULAR_ENDOTHELIAL_CELL")</f>
        <v>GOBP_LEUKOCYTE_ADHESION_TO_VASCULAR_ENDOTHELIAL_CELL</v>
      </c>
      <c r="C169" s="4">
        <v>51</v>
      </c>
      <c r="D169" s="3">
        <v>2.2073692999999999</v>
      </c>
      <c r="E169" s="1">
        <v>0</v>
      </c>
      <c r="F169" s="2">
        <v>6.4218875000000003E-6</v>
      </c>
    </row>
    <row r="170" spans="1:6" x14ac:dyDescent="0.25">
      <c r="A170" t="s">
        <v>6</v>
      </c>
      <c r="B170" s="5" t="str">
        <f>HYPERLINK("http://www.broadinstitute.org/gsea/msigdb/cards/GOBP_NEGATIVE_REGULATION_OF_IMMUNE_RESPONSE.html","GOBP_NEGATIVE_REGULATION_OF_IMMUNE_RESPONSE")</f>
        <v>GOBP_NEGATIVE_REGULATION_OF_IMMUNE_RESPONSE</v>
      </c>
      <c r="C170" s="4">
        <v>207</v>
      </c>
      <c r="D170" s="3">
        <v>2.2070373999999999</v>
      </c>
      <c r="E170" s="1">
        <v>0</v>
      </c>
      <c r="F170" s="2">
        <v>1.2846697E-5</v>
      </c>
    </row>
    <row r="171" spans="1:6" x14ac:dyDescent="0.25">
      <c r="A171" t="s">
        <v>6</v>
      </c>
      <c r="B171" s="5" t="str">
        <f>HYPERLINK("http://www.broadinstitute.org/gsea/msigdb/cards/GOBP_SUBSTRATE_ADHESION_DEPENDENT_CELL_SPREADING.html","GOBP_SUBSTRATE_ADHESION_DEPENDENT_CELL_SPREADING")</f>
        <v>GOBP_SUBSTRATE_ADHESION_DEPENDENT_CELL_SPREADING</v>
      </c>
      <c r="C171" s="4">
        <v>102</v>
      </c>
      <c r="D171" s="3">
        <v>2.2048318</v>
      </c>
      <c r="E171" s="1">
        <v>0</v>
      </c>
      <c r="F171" s="2">
        <v>1.2770228999999999E-5</v>
      </c>
    </row>
    <row r="172" spans="1:6" x14ac:dyDescent="0.25">
      <c r="A172" t="s">
        <v>6</v>
      </c>
      <c r="B172" s="5" t="str">
        <f>HYPERLINK("http://www.broadinstitute.org/gsea/msigdb/cards/GOBP_CHEMOKINE_PRODUCTION.html","GOBP_CHEMOKINE_PRODUCTION")</f>
        <v>GOBP_CHEMOKINE_PRODUCTION</v>
      </c>
      <c r="C172" s="4">
        <v>123</v>
      </c>
      <c r="D172" s="3">
        <v>2.2047935000000001</v>
      </c>
      <c r="E172" s="1">
        <v>0</v>
      </c>
      <c r="F172" s="2">
        <v>1.2694665E-5</v>
      </c>
    </row>
    <row r="173" spans="1:6" x14ac:dyDescent="0.25">
      <c r="A173" t="s">
        <v>6</v>
      </c>
      <c r="B173" s="5" t="str">
        <f>HYPERLINK("http://www.broadinstitute.org/gsea/msigdb/cards/GOBP_ANTIFUNGAL_INNATE_IMMUNE_RESPONSE.html","GOBP_ANTIFUNGAL_INNATE_IMMUNE_RESPONSE")</f>
        <v>GOBP_ANTIFUNGAL_INNATE_IMMUNE_RESPONSE</v>
      </c>
      <c r="C173" s="4">
        <v>21</v>
      </c>
      <c r="D173" s="3">
        <v>2.2046768999999999</v>
      </c>
      <c r="E173" s="1">
        <v>0</v>
      </c>
      <c r="F173" s="2">
        <v>1.261999E-5</v>
      </c>
    </row>
    <row r="174" spans="1:6" x14ac:dyDescent="0.25">
      <c r="A174" t="s">
        <v>6</v>
      </c>
      <c r="B174" s="5" t="str">
        <f>HYPERLINK("http://www.broadinstitute.org/gsea/msigdb/cards/GOBP_INTERLEUKIN_8_PRODUCTION.html","GOBP_INTERLEUKIN_8_PRODUCTION")</f>
        <v>GOBP_INTERLEUKIN_8_PRODUCTION</v>
      </c>
      <c r="C174" s="4">
        <v>74</v>
      </c>
      <c r="D174" s="3">
        <v>2.2042391000000001</v>
      </c>
      <c r="E174" s="1">
        <v>0</v>
      </c>
      <c r="F174" s="2">
        <v>1.2546189E-5</v>
      </c>
    </row>
    <row r="175" spans="1:6" x14ac:dyDescent="0.25">
      <c r="A175" t="s">
        <v>6</v>
      </c>
      <c r="B175" s="5" t="str">
        <f>HYPERLINK("http://www.broadinstitute.org/gsea/msigdb/cards/GOBP_NEGATIVE_REGULATION_OF_CYTOKINE_PRODUCTION.html","GOBP_NEGATIVE_REGULATION_OF_CYTOKINE_PRODUCTION")</f>
        <v>GOBP_NEGATIVE_REGULATION_OF_CYTOKINE_PRODUCTION</v>
      </c>
      <c r="C175" s="4">
        <v>301</v>
      </c>
      <c r="D175" s="3">
        <v>2.2024343000000002</v>
      </c>
      <c r="E175" s="1">
        <v>0</v>
      </c>
      <c r="F175" s="2">
        <v>1.2473247E-5</v>
      </c>
    </row>
    <row r="176" spans="1:6" x14ac:dyDescent="0.25">
      <c r="A176" t="s">
        <v>6</v>
      </c>
      <c r="B176" s="5" t="str">
        <f>HYPERLINK("http://www.broadinstitute.org/gsea/msigdb/cards/GOBP_DEFENSE_RESPONSE_TO_FUNGUS.html","GOBP_DEFENSE_RESPONSE_TO_FUNGUS")</f>
        <v>GOBP_DEFENSE_RESPONSE_TO_FUNGUS</v>
      </c>
      <c r="C176" s="4">
        <v>56</v>
      </c>
      <c r="D176" s="3">
        <v>2.2011337000000002</v>
      </c>
      <c r="E176" s="1">
        <v>0</v>
      </c>
      <c r="F176" s="2">
        <v>1.2401148E-5</v>
      </c>
    </row>
    <row r="177" spans="1:6" x14ac:dyDescent="0.25">
      <c r="A177" t="s">
        <v>10</v>
      </c>
      <c r="B177" s="5" t="str">
        <f>HYPERLINK("http://www.broadinstitute.org/gsea/msigdb/cards/REACTOME_CHEMOKINE_RECEPTORS_BIND_CHEMOKINES.html","REACTOME_CHEMOKINE_RECEPTORS_BIND_CHEMOKINES")</f>
        <v>REACTOME_CHEMOKINE_RECEPTORS_BIND_CHEMOKINES</v>
      </c>
      <c r="C177" s="4">
        <v>46</v>
      </c>
      <c r="D177" s="3">
        <v>2.1997949999999999</v>
      </c>
      <c r="E177" s="1">
        <v>0</v>
      </c>
      <c r="F177" s="2">
        <v>1.2329876E-5</v>
      </c>
    </row>
    <row r="178" spans="1:6" x14ac:dyDescent="0.25">
      <c r="A178" t="s">
        <v>6</v>
      </c>
      <c r="B178" s="5" t="str">
        <f>HYPERLINK("http://www.broadinstitute.org/gsea/msigdb/cards/GOBP_INTERLEUKIN_2_PRODUCTION.html","GOBP_INTERLEUKIN_2_PRODUCTION")</f>
        <v>GOBP_INTERLEUKIN_2_PRODUCTION</v>
      </c>
      <c r="C178" s="4">
        <v>76</v>
      </c>
      <c r="D178" s="3">
        <v>2.1992018</v>
      </c>
      <c r="E178" s="1">
        <v>0</v>
      </c>
      <c r="F178" s="2">
        <v>1.2259419E-5</v>
      </c>
    </row>
    <row r="179" spans="1:6" x14ac:dyDescent="0.25">
      <c r="A179" t="s">
        <v>10</v>
      </c>
      <c r="B179" s="5" t="str">
        <f>HYPERLINK("http://www.broadinstitute.org/gsea/msigdb/cards/REACTOME_FCGAMMA_RECEPTOR_FCGR_DEPENDENT_PHAGOCYTOSIS.html","REACTOME_FCGAMMA_RECEPTOR_FCGR_DEPENDENT_PHAGOCYTOSIS")</f>
        <v>REACTOME_FCGAMMA_RECEPTOR_FCGR_DEPENDENT_PHAGOCYTOSIS</v>
      </c>
      <c r="C179" s="4">
        <v>78</v>
      </c>
      <c r="D179" s="3">
        <v>2.1961187999999998</v>
      </c>
      <c r="E179" s="1">
        <v>0</v>
      </c>
      <c r="F179" s="2">
        <v>1.8435170000000001E-5</v>
      </c>
    </row>
    <row r="180" spans="1:6" x14ac:dyDescent="0.25">
      <c r="A180" t="s">
        <v>6</v>
      </c>
      <c r="B180" s="5" t="str">
        <f>HYPERLINK("http://www.broadinstitute.org/gsea/msigdb/cards/GOBP_NEGATIVE_REGULATION_OF_INTERLEUKIN_6_PRODUCTION.html","GOBP_NEGATIVE_REGULATION_OF_INTERLEUKIN_6_PRODUCTION")</f>
        <v>GOBP_NEGATIVE_REGULATION_OF_INTERLEUKIN_6_PRODUCTION</v>
      </c>
      <c r="C180" s="4">
        <v>51</v>
      </c>
      <c r="D180" s="3">
        <v>2.1960772999999998</v>
      </c>
      <c r="E180" s="1">
        <v>0</v>
      </c>
      <c r="F180" s="2">
        <v>1.8331019E-5</v>
      </c>
    </row>
    <row r="181" spans="1:6" x14ac:dyDescent="0.25">
      <c r="A181" t="s">
        <v>6</v>
      </c>
      <c r="B181" s="5" t="str">
        <f>HYPERLINK("http://www.broadinstitute.org/gsea/msigdb/cards/GOBP_LEUKOCYTE_PROLIFERATION.html","GOBP_LEUKOCYTE_PROLIFERATION")</f>
        <v>GOBP_LEUKOCYTE_PROLIFERATION</v>
      </c>
      <c r="C181" s="4">
        <v>384</v>
      </c>
      <c r="D181" s="3">
        <v>2.1956842000000001</v>
      </c>
      <c r="E181" s="1">
        <v>0</v>
      </c>
      <c r="F181" s="2">
        <v>1.8228035000000001E-5</v>
      </c>
    </row>
    <row r="182" spans="1:6" x14ac:dyDescent="0.25">
      <c r="A182" t="s">
        <v>10</v>
      </c>
      <c r="B182" s="5" t="str">
        <f>HYPERLINK("http://www.broadinstitute.org/gsea/msigdb/cards/REACTOME_COLLAGEN_DEGRADATION.html","REACTOME_COLLAGEN_DEGRADATION")</f>
        <v>REACTOME_COLLAGEN_DEGRADATION</v>
      </c>
      <c r="C182" s="4">
        <v>50</v>
      </c>
      <c r="D182" s="3">
        <v>2.1936333000000001</v>
      </c>
      <c r="E182" s="1">
        <v>0</v>
      </c>
      <c r="F182" s="2">
        <v>1.8126202000000002E-5</v>
      </c>
    </row>
    <row r="183" spans="1:6" x14ac:dyDescent="0.25">
      <c r="A183" t="s">
        <v>6</v>
      </c>
      <c r="B183" s="5" t="str">
        <f>HYPERLINK("http://www.broadinstitute.org/gsea/msigdb/cards/GOBP_TOLL_LIKE_RECEPTOR_SIGNALING_PATHWAY.html","GOBP_TOLL_LIKE_RECEPTOR_SIGNALING_PATHWAY")</f>
        <v>GOBP_TOLL_LIKE_RECEPTOR_SIGNALING_PATHWAY</v>
      </c>
      <c r="C183" s="4">
        <v>66</v>
      </c>
      <c r="D183" s="3">
        <v>2.1868732</v>
      </c>
      <c r="E183" s="1">
        <v>0</v>
      </c>
      <c r="F183" s="2">
        <v>2.4090530000000001E-5</v>
      </c>
    </row>
    <row r="184" spans="1:6" x14ac:dyDescent="0.25">
      <c r="A184" t="s">
        <v>6</v>
      </c>
      <c r="B184" s="5" t="str">
        <f>HYPERLINK("http://www.broadinstitute.org/gsea/msigdb/cards/GOBP_MACROPHAGE_CYTOKINE_PRODUCTION.html","GOBP_MACROPHAGE_CYTOKINE_PRODUCTION")</f>
        <v>GOBP_MACROPHAGE_CYTOKINE_PRODUCTION</v>
      </c>
      <c r="C184" s="4">
        <v>50</v>
      </c>
      <c r="D184" s="3">
        <v>2.1861245999999999</v>
      </c>
      <c r="E184" s="1">
        <v>0</v>
      </c>
      <c r="F184" s="2">
        <v>2.3957432999999999E-5</v>
      </c>
    </row>
    <row r="185" spans="1:6" x14ac:dyDescent="0.25">
      <c r="A185" t="s">
        <v>7</v>
      </c>
      <c r="B185" s="5" t="str">
        <f>HYPERLINK("http://www.broadinstitute.org/gsea/msigdb/cards/GOCC_PODOSOME.html","GOCC_PODOSOME")</f>
        <v>GOCC_PODOSOME</v>
      </c>
      <c r="C185" s="4">
        <v>29</v>
      </c>
      <c r="D185" s="3">
        <v>2.186013</v>
      </c>
      <c r="E185" s="1">
        <v>0</v>
      </c>
      <c r="F185" s="2">
        <v>2.3825797999999999E-5</v>
      </c>
    </row>
    <row r="186" spans="1:6" x14ac:dyDescent="0.25">
      <c r="A186" t="s">
        <v>7</v>
      </c>
      <c r="B186" s="5" t="str">
        <f>HYPERLINK("http://www.broadinstitute.org/gsea/msigdb/cards/GOCC_ENDOCYTIC_VESICLE.html","GOCC_ENDOCYTIC_VESICLE")</f>
        <v>GOCC_ENDOCYTIC_VESICLE</v>
      </c>
      <c r="C186" s="4">
        <v>210</v>
      </c>
      <c r="D186" s="3">
        <v>2.1828892</v>
      </c>
      <c r="E186" s="1">
        <v>0</v>
      </c>
      <c r="F186" s="2">
        <v>2.3695604000000002E-5</v>
      </c>
    </row>
    <row r="187" spans="1:6" x14ac:dyDescent="0.25">
      <c r="A187" t="s">
        <v>6</v>
      </c>
      <c r="B187" s="5" t="str">
        <f>HYPERLINK("http://www.broadinstitute.org/gsea/msigdb/cards/GOBP_T_CELL_PROLIFERATION.html","GOBP_T_CELL_PROLIFERATION")</f>
        <v>GOBP_T_CELL_PROLIFERATION</v>
      </c>
      <c r="C187" s="4">
        <v>253</v>
      </c>
      <c r="D187" s="3">
        <v>2.1779985000000002</v>
      </c>
      <c r="E187" s="1">
        <v>0</v>
      </c>
      <c r="F187" s="2">
        <v>2.9364614000000002E-5</v>
      </c>
    </row>
    <row r="188" spans="1:6" x14ac:dyDescent="0.25">
      <c r="A188" t="s">
        <v>6</v>
      </c>
      <c r="B188" s="5" t="str">
        <f>HYPERLINK("http://www.broadinstitute.org/gsea/msigdb/cards/GOBP_POSITIVE_REGULATION_OF_T_HELPER_CELL_DIFFERENTIATION.html","GOBP_POSITIVE_REGULATION_OF_T_HELPER_CELL_DIFFERENTIATION")</f>
        <v>GOBP_POSITIVE_REGULATION_OF_T_HELPER_CELL_DIFFERENTIATION</v>
      </c>
      <c r="C188" s="4">
        <v>19</v>
      </c>
      <c r="D188" s="3">
        <v>2.1771736000000002</v>
      </c>
      <c r="E188" s="1">
        <v>0</v>
      </c>
      <c r="F188" s="2">
        <v>2.9205885E-5</v>
      </c>
    </row>
    <row r="189" spans="1:6" x14ac:dyDescent="0.25">
      <c r="A189" t="s">
        <v>6</v>
      </c>
      <c r="B189" s="5" t="str">
        <f>HYPERLINK("http://www.broadinstitute.org/gsea/msigdb/cards/GOBP_NEGATIVE_REGULATION_OF_T_CELL_MEDIATED_IMMUNITY.html","GOBP_NEGATIVE_REGULATION_OF_T_CELL_MEDIATED_IMMUNITY")</f>
        <v>GOBP_NEGATIVE_REGULATION_OF_T_CELL_MEDIATED_IMMUNITY</v>
      </c>
      <c r="C189" s="4">
        <v>22</v>
      </c>
      <c r="D189" s="3">
        <v>2.1766157000000002</v>
      </c>
      <c r="E189" s="1">
        <v>0</v>
      </c>
      <c r="F189" s="2">
        <v>2.9048864000000001E-5</v>
      </c>
    </row>
    <row r="190" spans="1:6" x14ac:dyDescent="0.25">
      <c r="A190" t="s">
        <v>11</v>
      </c>
      <c r="B190" s="5" t="str">
        <f>HYPERLINK("http://www.broadinstitute.org/gsea/msigdb/cards/WP_LUNG_FIBROSIS.html","WP_LUNG_FIBROSIS")</f>
        <v>WP_LUNG_FIBROSIS</v>
      </c>
      <c r="C190" s="4">
        <v>58</v>
      </c>
      <c r="D190" s="3">
        <v>2.1727675999999998</v>
      </c>
      <c r="E190" s="1">
        <v>0</v>
      </c>
      <c r="F190" s="2">
        <v>3.4714530000000003E-5</v>
      </c>
    </row>
    <row r="191" spans="1:6" x14ac:dyDescent="0.25">
      <c r="A191" t="s">
        <v>6</v>
      </c>
      <c r="B191" s="5" t="str">
        <f>HYPERLINK("http://www.broadinstitute.org/gsea/msigdb/cards/GOBP_B_CELL_MEDIATED_IMMUNITY.html","GOBP_B_CELL_MEDIATED_IMMUNITY")</f>
        <v>GOBP_B_CELL_MEDIATED_IMMUNITY</v>
      </c>
      <c r="C191" s="4">
        <v>155</v>
      </c>
      <c r="D191" s="3">
        <v>2.1726656000000002</v>
      </c>
      <c r="E191" s="1">
        <v>0</v>
      </c>
      <c r="F191" s="2">
        <v>3.4529880000000002E-5</v>
      </c>
    </row>
    <row r="192" spans="1:6" x14ac:dyDescent="0.25">
      <c r="A192" t="s">
        <v>6</v>
      </c>
      <c r="B192" s="5" t="str">
        <f>HYPERLINK("http://www.broadinstitute.org/gsea/msigdb/cards/GOBP_COLLAGEN_CATABOLIC_PROCESS.html","GOBP_COLLAGEN_CATABOLIC_PROCESS")</f>
        <v>GOBP_COLLAGEN_CATABOLIC_PROCESS</v>
      </c>
      <c r="C192" s="4">
        <v>38</v>
      </c>
      <c r="D192" s="3">
        <v>2.1714756</v>
      </c>
      <c r="E192" s="1">
        <v>0</v>
      </c>
      <c r="F192" s="2">
        <v>3.4347180000000001E-5</v>
      </c>
    </row>
    <row r="193" spans="1:6" x14ac:dyDescent="0.25">
      <c r="A193" t="s">
        <v>6</v>
      </c>
      <c r="B193" s="5" t="str">
        <f>HYPERLINK("http://www.broadinstitute.org/gsea/msigdb/cards/GOBP_ALPHA_BETA_T_CELL_PROLIFERATION.html","GOBP_ALPHA_BETA_T_CELL_PROLIFERATION")</f>
        <v>GOBP_ALPHA_BETA_T_CELL_PROLIFERATION</v>
      </c>
      <c r="C193" s="4">
        <v>67</v>
      </c>
      <c r="D193" s="3">
        <v>2.1711125</v>
      </c>
      <c r="E193" s="1">
        <v>0</v>
      </c>
      <c r="F193" s="2">
        <v>3.4166404999999999E-5</v>
      </c>
    </row>
    <row r="194" spans="1:6" x14ac:dyDescent="0.25">
      <c r="A194" t="s">
        <v>6</v>
      </c>
      <c r="B194" s="5" t="str">
        <f>HYPERLINK("http://www.broadinstitute.org/gsea/msigdb/cards/GOBP_NUCLEOTIDE_BINDING_OLIGOMERIZATION_DOMAIN_CONTAINING_2_SIGNALING_PATHWAY.html","GOBP_NUCLEOTIDE_BINDING_OLIGOMERIZATION_DOMAIN_CONTAINING_2_SIGNALING_PATHWAY")</f>
        <v>GOBP_NUCLEOTIDE_BINDING_OLIGOMERIZATION_DOMAIN_CONTAINING_2_SIGNALING_PATHWAY</v>
      </c>
      <c r="C194" s="4">
        <v>18</v>
      </c>
      <c r="D194" s="3">
        <v>2.1704129999999999</v>
      </c>
      <c r="E194" s="1">
        <v>0</v>
      </c>
      <c r="F194" s="2">
        <v>3.3987525999999997E-5</v>
      </c>
    </row>
    <row r="195" spans="1:6" x14ac:dyDescent="0.25">
      <c r="A195" t="s">
        <v>6</v>
      </c>
      <c r="B195" s="5" t="str">
        <f>HYPERLINK("http://www.broadinstitute.org/gsea/msigdb/cards/GOBP_POSITIVE_REGULATION_OF_PEPTIDYL_TYROSINE_PHOSPHORYLATION.html","GOBP_POSITIVE_REGULATION_OF_PEPTIDYL_TYROSINE_PHOSPHORYLATION")</f>
        <v>GOBP_POSITIVE_REGULATION_OF_PEPTIDYL_TYROSINE_PHOSPHORYLATION</v>
      </c>
      <c r="C195" s="4">
        <v>180</v>
      </c>
      <c r="D195" s="3">
        <v>2.1701112</v>
      </c>
      <c r="E195" s="1">
        <v>0</v>
      </c>
      <c r="F195" s="2">
        <v>3.3810506000000001E-5</v>
      </c>
    </row>
    <row r="196" spans="1:6" x14ac:dyDescent="0.25">
      <c r="A196" t="s">
        <v>10</v>
      </c>
      <c r="B196" s="5" t="str">
        <f>HYPERLINK("http://www.broadinstitute.org/gsea/msigdb/cards/REACTOME_G_ALPHA_I_SIGNALLING_EVENTS.html","REACTOME_G_ALPHA_I_SIGNALLING_EVENTS")</f>
        <v>REACTOME_G_ALPHA_I_SIGNALLING_EVENTS</v>
      </c>
      <c r="C196" s="4">
        <v>245</v>
      </c>
      <c r="D196" s="3">
        <v>2.1664949999999998</v>
      </c>
      <c r="E196" s="1">
        <v>0</v>
      </c>
      <c r="F196" s="2">
        <v>4.4858952999999997E-5</v>
      </c>
    </row>
    <row r="197" spans="1:6" x14ac:dyDescent="0.25">
      <c r="A197" t="s">
        <v>6</v>
      </c>
      <c r="B197" s="5" t="str">
        <f>HYPERLINK("http://www.broadinstitute.org/gsea/msigdb/cards/GOBP_REGULATION_OF_LEUKOCYTE_DEGRANULATION.html","GOBP_REGULATION_OF_LEUKOCYTE_DEGRANULATION")</f>
        <v>GOBP_REGULATION_OF_LEUKOCYTE_DEGRANULATION</v>
      </c>
      <c r="C197" s="4">
        <v>52</v>
      </c>
      <c r="D197" s="3">
        <v>2.1628690000000002</v>
      </c>
      <c r="E197" s="1">
        <v>0</v>
      </c>
      <c r="F197" s="2">
        <v>5.5732497000000001E-5</v>
      </c>
    </row>
    <row r="198" spans="1:6" x14ac:dyDescent="0.25">
      <c r="A198" t="s">
        <v>6</v>
      </c>
      <c r="B198" s="5" t="str">
        <f>HYPERLINK("http://www.broadinstitute.org/gsea/msigdb/cards/GOBP_POSITIVE_REGULATION_OF_CYTOKINE_PRODUCTION_INVOLVED_IN_INFLAMMATORY_RESPONSE.html","GOBP_POSITIVE_REGULATION_OF_CYTOKINE_PRODUCTION_INVOLVED_IN_INFLAMMATORY_RESPONSE")</f>
        <v>GOBP_POSITIVE_REGULATION_OF_CYTOKINE_PRODUCTION_INVOLVED_IN_INFLAMMATORY_RESPONSE</v>
      </c>
      <c r="C198" s="4">
        <v>29</v>
      </c>
      <c r="D198" s="3">
        <v>2.16161</v>
      </c>
      <c r="E198" s="1">
        <v>0</v>
      </c>
      <c r="F198" s="2">
        <v>6.650653E-5</v>
      </c>
    </row>
    <row r="199" spans="1:6" x14ac:dyDescent="0.25">
      <c r="A199" t="s">
        <v>7</v>
      </c>
      <c r="B199" s="5" t="str">
        <f>HYPERLINK("http://www.broadinstitute.org/gsea/msigdb/cards/GOCC_COLLAGEN_CONTAINING_EXTRACELLULAR_MATRIX.html","GOCC_COLLAGEN_CONTAINING_EXTRACELLULAR_MATRIX")</f>
        <v>GOCC_COLLAGEN_CONTAINING_EXTRACELLULAR_MATRIX</v>
      </c>
      <c r="C199" s="4">
        <v>376</v>
      </c>
      <c r="D199" s="3">
        <v>2.1599143000000001</v>
      </c>
      <c r="E199" s="1">
        <v>0</v>
      </c>
      <c r="F199" s="2">
        <v>7.1737140000000004E-5</v>
      </c>
    </row>
    <row r="200" spans="1:6" x14ac:dyDescent="0.25">
      <c r="A200" t="s">
        <v>6</v>
      </c>
      <c r="B200" s="5" t="str">
        <f>HYPERLINK("http://www.broadinstitute.org/gsea/msigdb/cards/GOBP_REGULATION_OF_T_CELL_PROLIFERATION.html","GOBP_REGULATION_OF_T_CELL_PROLIFERATION")</f>
        <v>GOBP_REGULATION_OF_T_CELL_PROLIFERATION</v>
      </c>
      <c r="C200" s="4">
        <v>209</v>
      </c>
      <c r="D200" s="3">
        <v>2.158677</v>
      </c>
      <c r="E200" s="1">
        <v>0</v>
      </c>
      <c r="F200" s="2">
        <v>7.702884E-5</v>
      </c>
    </row>
    <row r="201" spans="1:6" x14ac:dyDescent="0.25">
      <c r="A201" t="s">
        <v>6</v>
      </c>
      <c r="B201" s="5" t="str">
        <f>HYPERLINK("http://www.broadinstitute.org/gsea/msigdb/cards/GOBP_REGULATION_OF_SUBSTRATE_ADHESION_DEPENDENT_CELL_SPREADING.html","GOBP_REGULATION_OF_SUBSTRATE_ADHESION_DEPENDENT_CELL_SPREADING")</f>
        <v>GOBP_REGULATION_OF_SUBSTRATE_ADHESION_DEPENDENT_CELL_SPREADING</v>
      </c>
      <c r="C201" s="4">
        <v>59</v>
      </c>
      <c r="D201" s="3">
        <v>2.1580233999999998</v>
      </c>
      <c r="E201" s="1">
        <v>0</v>
      </c>
      <c r="F201" s="2">
        <v>7.6639799999999998E-5</v>
      </c>
    </row>
    <row r="202" spans="1:6" x14ac:dyDescent="0.25">
      <c r="A202" t="s">
        <v>6</v>
      </c>
      <c r="B202" s="5" t="str">
        <f>HYPERLINK("http://www.broadinstitute.org/gsea/msigdb/cards/GOBP_POSITIVE_REGULATION_OF_ACUTE_INFLAMMATORY_RESPONSE.html","GOBP_POSITIVE_REGULATION_OF_ACUTE_INFLAMMATORY_RESPONSE")</f>
        <v>GOBP_POSITIVE_REGULATION_OF_ACUTE_INFLAMMATORY_RESPONSE</v>
      </c>
      <c r="C202" s="4">
        <v>42</v>
      </c>
      <c r="D202" s="3">
        <v>2.1578754999999998</v>
      </c>
      <c r="E202" s="1">
        <v>0</v>
      </c>
      <c r="F202" s="2">
        <v>7.6254679999999999E-5</v>
      </c>
    </row>
    <row r="203" spans="1:6" x14ac:dyDescent="0.25">
      <c r="A203" t="s">
        <v>6</v>
      </c>
      <c r="B203" s="5" t="str">
        <f>HYPERLINK("http://www.broadinstitute.org/gsea/msigdb/cards/GOBP_LIPOPOLYSACCHARIDE_MEDIATED_SIGNALING_PATHWAY.html","GOBP_LIPOPOLYSACCHARIDE_MEDIATED_SIGNALING_PATHWAY")</f>
        <v>GOBP_LIPOPOLYSACCHARIDE_MEDIATED_SIGNALING_PATHWAY</v>
      </c>
      <c r="C203" s="4">
        <v>55</v>
      </c>
      <c r="D203" s="3">
        <v>2.1573763000000001</v>
      </c>
      <c r="E203" s="1">
        <v>0</v>
      </c>
      <c r="F203" s="2">
        <v>7.5873409999999998E-5</v>
      </c>
    </row>
    <row r="204" spans="1:6" x14ac:dyDescent="0.25">
      <c r="A204" t="s">
        <v>11</v>
      </c>
      <c r="B204" s="5" t="str">
        <f>HYPERLINK("http://www.broadinstitute.org/gsea/msigdb/cards/WP_MATRIX_METALLOPROTEINASES.html","WP_MATRIX_METALLOPROTEINASES")</f>
        <v>WP_MATRIX_METALLOPROTEINASES</v>
      </c>
      <c r="C204" s="4">
        <v>27</v>
      </c>
      <c r="D204" s="3">
        <v>2.1567560000000001</v>
      </c>
      <c r="E204" s="1">
        <v>0</v>
      </c>
      <c r="F204" s="2">
        <v>7.5495925999999994E-5</v>
      </c>
    </row>
    <row r="205" spans="1:6" x14ac:dyDescent="0.25">
      <c r="A205" t="s">
        <v>8</v>
      </c>
      <c r="B205" s="5" t="str">
        <f>HYPERLINK("http://www.broadinstitute.org/gsea/msigdb/cards/GOMF_PENTOSYLTRANSFERASE_ACTIVITY.html","GOMF_PENTOSYLTRANSFERASE_ACTIVITY")</f>
        <v>GOMF_PENTOSYLTRANSFERASE_ACTIVITY</v>
      </c>
      <c r="C205" s="4">
        <v>51</v>
      </c>
      <c r="D205" s="3">
        <v>2.1519659</v>
      </c>
      <c r="E205" s="1">
        <v>0</v>
      </c>
      <c r="F205" s="2">
        <v>8.5755266000000002E-5</v>
      </c>
    </row>
    <row r="206" spans="1:6" x14ac:dyDescent="0.25">
      <c r="A206" t="s">
        <v>6</v>
      </c>
      <c r="B206" s="5" t="str">
        <f>HYPERLINK("http://www.broadinstitute.org/gsea/msigdb/cards/GOBP_MEMBRANE_INVAGINATION.html","GOBP_MEMBRANE_INVAGINATION")</f>
        <v>GOBP_MEMBRANE_INVAGINATION</v>
      </c>
      <c r="C206" s="4">
        <v>75</v>
      </c>
      <c r="D206" s="3">
        <v>2.1512253000000001</v>
      </c>
      <c r="E206" s="1">
        <v>0</v>
      </c>
      <c r="F206" s="2">
        <v>8.5332824000000003E-5</v>
      </c>
    </row>
    <row r="207" spans="1:6" x14ac:dyDescent="0.25">
      <c r="A207" t="s">
        <v>6</v>
      </c>
      <c r="B207" s="5" t="str">
        <f>HYPERLINK("http://www.broadinstitute.org/gsea/msigdb/cards/GOBP_REGULATION_OF_NITRIC_OXIDE_METABOLIC_PROCESS.html","GOBP_REGULATION_OF_NITRIC_OXIDE_METABOLIC_PROCESS")</f>
        <v>GOBP_REGULATION_OF_NITRIC_OXIDE_METABOLIC_PROCESS</v>
      </c>
      <c r="C207" s="4">
        <v>75</v>
      </c>
      <c r="D207" s="3">
        <v>2.1510180000000001</v>
      </c>
      <c r="E207" s="1">
        <v>0</v>
      </c>
      <c r="F207" s="2">
        <v>8.4914530000000004E-5</v>
      </c>
    </row>
    <row r="208" spans="1:6" x14ac:dyDescent="0.25">
      <c r="A208" t="s">
        <v>6</v>
      </c>
      <c r="B208" s="5" t="str">
        <f>HYPERLINK("http://www.broadinstitute.org/gsea/msigdb/cards/GOBP_REGULATION_OF_MAST_CELL_ACTIVATION.html","GOBP_REGULATION_OF_MAST_CELL_ACTIVATION")</f>
        <v>GOBP_REGULATION_OF_MAST_CELL_ACTIVATION</v>
      </c>
      <c r="C208" s="4">
        <v>55</v>
      </c>
      <c r="D208" s="3">
        <v>2.1503437000000001</v>
      </c>
      <c r="E208" s="1">
        <v>0</v>
      </c>
      <c r="F208" s="2">
        <v>8.4500316000000005E-5</v>
      </c>
    </row>
    <row r="209" spans="1:6" x14ac:dyDescent="0.25">
      <c r="A209" t="s">
        <v>6</v>
      </c>
      <c r="B209" s="5" t="str">
        <f>HYPERLINK("http://www.broadinstitute.org/gsea/msigdb/cards/GOBP_HUMORAL_IMMUNE_RESPONSE_MEDIATED_BY_CIRCULATING_IMMUNOGLOBULIN.html","GOBP_HUMORAL_IMMUNE_RESPONSE_MEDIATED_BY_CIRCULATING_IMMUNOGLOBULIN")</f>
        <v>GOBP_HUMORAL_IMMUNE_RESPONSE_MEDIATED_BY_CIRCULATING_IMMUNOGLOBULIN</v>
      </c>
      <c r="C209" s="4">
        <v>44</v>
      </c>
      <c r="D209" s="3">
        <v>2.1488801999999998</v>
      </c>
      <c r="E209" s="1">
        <v>0</v>
      </c>
      <c r="F209" s="2">
        <v>8.4090119999999998E-5</v>
      </c>
    </row>
    <row r="210" spans="1:6" x14ac:dyDescent="0.25">
      <c r="A210" t="s">
        <v>8</v>
      </c>
      <c r="B210" s="5" t="str">
        <f>HYPERLINK("http://www.broadinstitute.org/gsea/msigdb/cards/GOMF_GROWTH_FACTOR_RECEPTOR_BINDING.html","GOMF_GROWTH_FACTOR_RECEPTOR_BINDING")</f>
        <v>GOMF_GROWTH_FACTOR_RECEPTOR_BINDING</v>
      </c>
      <c r="C210" s="4">
        <v>150</v>
      </c>
      <c r="D210" s="3">
        <v>2.1470913999999999</v>
      </c>
      <c r="E210" s="1">
        <v>0</v>
      </c>
      <c r="F210" s="2">
        <v>9.4249786000000002E-5</v>
      </c>
    </row>
    <row r="211" spans="1:6" x14ac:dyDescent="0.25">
      <c r="A211" t="s">
        <v>6</v>
      </c>
      <c r="B211" s="5" t="str">
        <f>HYPERLINK("http://www.broadinstitute.org/gsea/msigdb/cards/GOBP_CELL_ACTIVATION_INVOLVED_IN_IMMUNE_RESPONSE.html","GOBP_CELL_ACTIVATION_INVOLVED_IN_IMMUNE_RESPONSE")</f>
        <v>GOBP_CELL_ACTIVATION_INVOLVED_IN_IMMUNE_RESPONSE</v>
      </c>
      <c r="C211" s="4">
        <v>298</v>
      </c>
      <c r="D211" s="3">
        <v>2.1468387</v>
      </c>
      <c r="E211" s="1">
        <v>0</v>
      </c>
      <c r="F211" s="2">
        <v>9.379666E-5</v>
      </c>
    </row>
    <row r="212" spans="1:6" x14ac:dyDescent="0.25">
      <c r="A212" t="s">
        <v>6</v>
      </c>
      <c r="B212" s="5" t="str">
        <f>HYPERLINK("http://www.broadinstitute.org/gsea/msigdb/cards/GOBP_HUMORAL_IMMUNE_RESPONSE.html","GOBP_HUMORAL_IMMUNE_RESPONSE")</f>
        <v>GOBP_HUMORAL_IMMUNE_RESPONSE</v>
      </c>
      <c r="C212" s="4">
        <v>206</v>
      </c>
      <c r="D212" s="3">
        <v>2.1452619999999998</v>
      </c>
      <c r="E212" s="1">
        <v>0</v>
      </c>
      <c r="F212" s="2">
        <v>9.3347870000000006E-5</v>
      </c>
    </row>
    <row r="213" spans="1:6" x14ac:dyDescent="0.25">
      <c r="A213" t="s">
        <v>6</v>
      </c>
      <c r="B213" s="5" t="str">
        <f>HYPERLINK("http://www.broadinstitute.org/gsea/msigdb/cards/GOBP_NEGATIVE_REGULATION_OF_B_CELL_PROLIFERATION.html","GOBP_NEGATIVE_REGULATION_OF_B_CELL_PROLIFERATION")</f>
        <v>GOBP_NEGATIVE_REGULATION_OF_B_CELL_PROLIFERATION</v>
      </c>
      <c r="C213" s="4">
        <v>20</v>
      </c>
      <c r="D213" s="3">
        <v>2.1430197</v>
      </c>
      <c r="E213" s="1">
        <v>0</v>
      </c>
      <c r="F213" s="2">
        <v>9.2903356000000002E-5</v>
      </c>
    </row>
    <row r="214" spans="1:6" x14ac:dyDescent="0.25">
      <c r="A214" t="s">
        <v>6</v>
      </c>
      <c r="B214" s="5" t="str">
        <f>HYPERLINK("http://www.broadinstitute.org/gsea/msigdb/cards/GOBP_PLATELET_ACTIVATION.html","GOBP_PLATELET_ACTIVATION")</f>
        <v>GOBP_PLATELET_ACTIVATION</v>
      </c>
      <c r="C214" s="4">
        <v>97</v>
      </c>
      <c r="D214" s="3">
        <v>2.1429217</v>
      </c>
      <c r="E214" s="1">
        <v>0</v>
      </c>
      <c r="F214" s="2">
        <v>9.2463060000000003E-5</v>
      </c>
    </row>
    <row r="215" spans="1:6" x14ac:dyDescent="0.25">
      <c r="A215" t="s">
        <v>6</v>
      </c>
      <c r="B215" s="5" t="str">
        <f>HYPERLINK("http://www.broadinstitute.org/gsea/msigdb/cards/GOBP_REGULATION_OF_SUPEROXIDE_METABOLIC_PROCESS.html","GOBP_REGULATION_OF_SUPEROXIDE_METABOLIC_PROCESS")</f>
        <v>GOBP_REGULATION_OF_SUPEROXIDE_METABOLIC_PROCESS</v>
      </c>
      <c r="C215" s="4">
        <v>35</v>
      </c>
      <c r="D215" s="3">
        <v>2.1418187999999998</v>
      </c>
      <c r="E215" s="1">
        <v>0</v>
      </c>
      <c r="F215" s="2">
        <v>9.2026916000000002E-5</v>
      </c>
    </row>
    <row r="216" spans="1:6" x14ac:dyDescent="0.25">
      <c r="A216" t="s">
        <v>6</v>
      </c>
      <c r="B216" s="5" t="str">
        <f>HYPERLINK("http://www.broadinstitute.org/gsea/msigdb/cards/GOBP_POSITIVE_REGULATION_OF_PRODUCTION_OF_MOLECULAR_MEDIATOR_OF_IMMUNE_RESPONSE.html","GOBP_POSITIVE_REGULATION_OF_PRODUCTION_OF_MOLECULAR_MEDIATOR_OF_IMMUNE_RESPONSE")</f>
        <v>GOBP_POSITIVE_REGULATION_OF_PRODUCTION_OF_MOLECULAR_MEDIATOR_OF_IMMUNE_RESPONSE</v>
      </c>
      <c r="C216" s="4">
        <v>153</v>
      </c>
      <c r="D216" s="3">
        <v>2.1371380000000002</v>
      </c>
      <c r="E216" s="1">
        <v>0</v>
      </c>
      <c r="F216" s="2">
        <v>1.17053365E-4</v>
      </c>
    </row>
    <row r="217" spans="1:6" x14ac:dyDescent="0.25">
      <c r="A217" t="s">
        <v>6</v>
      </c>
      <c r="B217" s="5" t="str">
        <f>HYPERLINK("http://www.broadinstitute.org/gsea/msigdb/cards/GOBP_POSITIVE_REGULATION_OF_CELL_ACTIVATION.html","GOBP_POSITIVE_REGULATION_OF_CELL_ACTIVATION")</f>
        <v>GOBP_POSITIVE_REGULATION_OF_CELL_ACTIVATION</v>
      </c>
      <c r="C217" s="4">
        <v>416</v>
      </c>
      <c r="D217" s="3">
        <v>2.1330966999999998</v>
      </c>
      <c r="E217" s="1">
        <v>0</v>
      </c>
      <c r="F217" s="2">
        <v>1.21548925E-4</v>
      </c>
    </row>
    <row r="218" spans="1:6" x14ac:dyDescent="0.25">
      <c r="A218" t="s">
        <v>9</v>
      </c>
      <c r="B218" s="5" t="str">
        <f>HYPERLINK("http://www.broadinstitute.org/gsea/msigdb/cards/HALLMARK_IL2_STAT5_SIGNALING.html","HALLMARK_IL2_STAT5_SIGNALING")</f>
        <v>HALLMARK_IL2_STAT5_SIGNALING</v>
      </c>
      <c r="C218" s="4">
        <v>199</v>
      </c>
      <c r="D218" s="3">
        <v>2.1325223000000002</v>
      </c>
      <c r="E218" s="1">
        <v>0</v>
      </c>
      <c r="F218" s="2">
        <v>1.2098358E-4</v>
      </c>
    </row>
    <row r="219" spans="1:6" x14ac:dyDescent="0.25">
      <c r="A219" t="s">
        <v>6</v>
      </c>
      <c r="B219" s="5" t="str">
        <f>HYPERLINK("http://www.broadinstitute.org/gsea/msigdb/cards/GOBP_RESPONSE_TO_INTERLEUKIN_17.html","GOBP_RESPONSE_TO_INTERLEUKIN_17")</f>
        <v>GOBP_RESPONSE_TO_INTERLEUKIN_17</v>
      </c>
      <c r="C219" s="4">
        <v>25</v>
      </c>
      <c r="D219" s="3">
        <v>2.1319705999999998</v>
      </c>
      <c r="E219" s="1">
        <v>0</v>
      </c>
      <c r="F219" s="2">
        <v>1.2042348E-4</v>
      </c>
    </row>
    <row r="220" spans="1:6" x14ac:dyDescent="0.25">
      <c r="A220" t="s">
        <v>6</v>
      </c>
      <c r="B220" s="5" t="str">
        <f>HYPERLINK("http://www.broadinstitute.org/gsea/msigdb/cards/GOBP_NEGATIVE_REGULATION_OF_ADAPTIVE_IMMUNE_RESPONSE.html","GOBP_NEGATIVE_REGULATION_OF_ADAPTIVE_IMMUNE_RESPONSE")</f>
        <v>GOBP_NEGATIVE_REGULATION_OF_ADAPTIVE_IMMUNE_RESPONSE</v>
      </c>
      <c r="C220" s="4">
        <v>55</v>
      </c>
      <c r="D220" s="3">
        <v>2.131462</v>
      </c>
      <c r="E220" s="1">
        <v>0</v>
      </c>
      <c r="F220" s="2">
        <v>1.19868535E-4</v>
      </c>
    </row>
    <row r="221" spans="1:6" x14ac:dyDescent="0.25">
      <c r="A221" t="s">
        <v>11</v>
      </c>
      <c r="B221" s="5" t="str">
        <f>HYPERLINK("http://www.broadinstitute.org/gsea/msigdb/cards/WP_INFLAMMATORY_RESPONSE_PATHWAY.html","WP_INFLAMMATORY_RESPONSE_PATHWAY")</f>
        <v>WP_INFLAMMATORY_RESPONSE_PATHWAY</v>
      </c>
      <c r="C221" s="4">
        <v>30</v>
      </c>
      <c r="D221" s="3">
        <v>2.1314131999999999</v>
      </c>
      <c r="E221" s="1">
        <v>0</v>
      </c>
      <c r="F221" s="2">
        <v>1.1931867599999999E-4</v>
      </c>
    </row>
    <row r="222" spans="1:6" x14ac:dyDescent="0.25">
      <c r="A222" t="s">
        <v>8</v>
      </c>
      <c r="B222" s="5" t="str">
        <f>HYPERLINK("http://www.broadinstitute.org/gsea/msigdb/cards/GOMF_PHOSPHATIDYLINOSITOL_PHOSPHATE_BINDING.html","GOMF_PHOSPHATIDYLINOSITOL_PHOSPHATE_BINDING")</f>
        <v>GOMF_PHOSPHATIDYLINOSITOL_PHOSPHATE_BINDING</v>
      </c>
      <c r="C222" s="4">
        <v>194</v>
      </c>
      <c r="D222" s="3">
        <v>2.1305231999999998</v>
      </c>
      <c r="E222" s="1">
        <v>0</v>
      </c>
      <c r="F222" s="2">
        <v>1.1877384E-4</v>
      </c>
    </row>
    <row r="223" spans="1:6" x14ac:dyDescent="0.25">
      <c r="A223" t="s">
        <v>6</v>
      </c>
      <c r="B223" s="5" t="str">
        <f>HYPERLINK("http://www.broadinstitute.org/gsea/msigdb/cards/GOBP_POSITIVE_REGULATION_OF_MYELOID_LEUKOCYTE_CYTOKINE_PRODUCTION_INVOLVED_IN_IMMUNE_RESPONSE.html","GOBP_POSITIVE_REGULATION_OF_MYELOID_LEUKOCYTE_CYTOKINE_PRODUCTION_INVOLVED_IN_IMMUNE_RESPONSE")</f>
        <v>GOBP_POSITIVE_REGULATION_OF_MYELOID_LEUKOCYTE_CYTOKINE_PRODUCTION_INVOLVED_IN_IMMUNE_RESPONSE</v>
      </c>
      <c r="C223" s="4">
        <v>41</v>
      </c>
      <c r="D223" s="3">
        <v>2.1278690999999998</v>
      </c>
      <c r="E223" s="1">
        <v>0</v>
      </c>
      <c r="F223" s="2">
        <v>1.18233955E-4</v>
      </c>
    </row>
    <row r="224" spans="1:6" x14ac:dyDescent="0.25">
      <c r="A224" t="s">
        <v>6</v>
      </c>
      <c r="B224" s="5" t="str">
        <f>HYPERLINK("http://www.broadinstitute.org/gsea/msigdb/cards/GOBP_POSITIVE_REGULATION_OF_LYMPHOCYTE_MIGRATION.html","GOBP_POSITIVE_REGULATION_OF_LYMPHOCYTE_MIGRATION")</f>
        <v>GOBP_POSITIVE_REGULATION_OF_LYMPHOCYTE_MIGRATION</v>
      </c>
      <c r="C224" s="4">
        <v>42</v>
      </c>
      <c r="D224" s="3">
        <v>2.1267670000000001</v>
      </c>
      <c r="E224" s="1">
        <v>0</v>
      </c>
      <c r="F224" s="2">
        <v>1.3248669E-4</v>
      </c>
    </row>
    <row r="225" spans="1:6" x14ac:dyDescent="0.25">
      <c r="A225" t="s">
        <v>6</v>
      </c>
      <c r="B225" s="5" t="str">
        <f>HYPERLINK("http://www.broadinstitute.org/gsea/msigdb/cards/GOBP_INTERLEUKIN_1_PRODUCTION.html","GOBP_INTERLEUKIN_1_PRODUCTION")</f>
        <v>GOBP_INTERLEUKIN_1_PRODUCTION</v>
      </c>
      <c r="C225" s="4">
        <v>115</v>
      </c>
      <c r="D225" s="3">
        <v>2.1252654</v>
      </c>
      <c r="E225" s="1">
        <v>0</v>
      </c>
      <c r="F225" s="2">
        <v>1.4172539999999999E-4</v>
      </c>
    </row>
    <row r="226" spans="1:6" x14ac:dyDescent="0.25">
      <c r="A226" t="s">
        <v>6</v>
      </c>
      <c r="B226" s="5" t="str">
        <f>HYPERLINK("http://www.broadinstitute.org/gsea/msigdb/cards/GOBP_RESPONSE_TO_TUMOR_NECROSIS_FACTOR.html","GOBP_RESPONSE_TO_TUMOR_NECROSIS_FACTOR")</f>
        <v>GOBP_RESPONSE_TO_TUMOR_NECROSIS_FACTOR</v>
      </c>
      <c r="C226" s="4">
        <v>180</v>
      </c>
      <c r="D226" s="3">
        <v>2.1243482</v>
      </c>
      <c r="E226" s="1">
        <v>0</v>
      </c>
      <c r="F226" s="2">
        <v>1.4108985E-4</v>
      </c>
    </row>
    <row r="227" spans="1:6" x14ac:dyDescent="0.25">
      <c r="A227" t="s">
        <v>6</v>
      </c>
      <c r="B227" s="5" t="str">
        <f>HYPERLINK("http://www.broadinstitute.org/gsea/msigdb/cards/GOBP_MEMBRANE_PROTEIN_ECTODOMAIN_PROTEOLYSIS.html","GOBP_MEMBRANE_PROTEIN_ECTODOMAIN_PROTEOLYSIS")</f>
        <v>GOBP_MEMBRANE_PROTEIN_ECTODOMAIN_PROTEOLYSIS</v>
      </c>
      <c r="C227" s="4">
        <v>44</v>
      </c>
      <c r="D227" s="3">
        <v>2.1235979</v>
      </c>
      <c r="E227" s="1">
        <v>0</v>
      </c>
      <c r="F227" s="2">
        <v>1.4045999000000001E-4</v>
      </c>
    </row>
    <row r="228" spans="1:6" x14ac:dyDescent="0.25">
      <c r="A228" t="s">
        <v>6</v>
      </c>
      <c r="B228" s="5" t="str">
        <f>HYPERLINK("http://www.broadinstitute.org/gsea/msigdb/cards/GOBP_WOUND_HEALING.html","GOBP_WOUND_HEALING")</f>
        <v>GOBP_WOUND_HEALING</v>
      </c>
      <c r="C228" s="4">
        <v>366</v>
      </c>
      <c r="D228" s="3">
        <v>2.122773</v>
      </c>
      <c r="E228" s="1">
        <v>0</v>
      </c>
      <c r="F228" s="2">
        <v>1.3983571E-4</v>
      </c>
    </row>
    <row r="229" spans="1:6" x14ac:dyDescent="0.25">
      <c r="A229" t="s">
        <v>6</v>
      </c>
      <c r="B229" s="5" t="str">
        <f>HYPERLINK("http://www.broadinstitute.org/gsea/msigdb/cards/GOBP_POSITIVE_REGULATION_OF_LEUKOCYTE_ADHESION_TO_VASCULAR_ENDOTHELIAL_CELL.html","GOBP_POSITIVE_REGULATION_OF_LEUKOCYTE_ADHESION_TO_VASCULAR_ENDOTHELIAL_CELL")</f>
        <v>GOBP_POSITIVE_REGULATION_OF_LEUKOCYTE_ADHESION_TO_VASCULAR_ENDOTHELIAL_CELL</v>
      </c>
      <c r="C229" s="4">
        <v>27</v>
      </c>
      <c r="D229" s="3">
        <v>2.1222816</v>
      </c>
      <c r="E229" s="1">
        <v>0</v>
      </c>
      <c r="F229" s="2">
        <v>1.4398262000000001E-4</v>
      </c>
    </row>
    <row r="230" spans="1:6" x14ac:dyDescent="0.25">
      <c r="A230" t="s">
        <v>6</v>
      </c>
      <c r="B230" s="5" t="str">
        <f>HYPERLINK("http://www.broadinstitute.org/gsea/msigdb/cards/GOBP_NEGATIVE_REGULATION_OF_CELL_ACTIVATION.html","GOBP_NEGATIVE_REGULATION_OF_CELL_ACTIVATION")</f>
        <v>GOBP_NEGATIVE_REGULATION_OF_CELL_ACTIVATION</v>
      </c>
      <c r="C230" s="4">
        <v>219</v>
      </c>
      <c r="D230" s="3">
        <v>2.1215226999999999</v>
      </c>
      <c r="E230" s="1">
        <v>0</v>
      </c>
      <c r="F230" s="2">
        <v>1.4808956E-4</v>
      </c>
    </row>
    <row r="231" spans="1:6" x14ac:dyDescent="0.25">
      <c r="A231" t="s">
        <v>6</v>
      </c>
      <c r="B231" s="5" t="str">
        <f>HYPERLINK("http://www.broadinstitute.org/gsea/msigdb/cards/GOBP_REGULATION_OF_ENDOCYTOSIS.html","GOBP_REGULATION_OF_ENDOCYTOSIS")</f>
        <v>GOBP_REGULATION_OF_ENDOCYTOSIS</v>
      </c>
      <c r="C231" s="4">
        <v>329</v>
      </c>
      <c r="D231" s="3">
        <v>2.1210577000000002</v>
      </c>
      <c r="E231" s="1">
        <v>0</v>
      </c>
      <c r="F231" s="2">
        <v>1.4744005E-4</v>
      </c>
    </row>
    <row r="232" spans="1:6" x14ac:dyDescent="0.25">
      <c r="A232" t="s">
        <v>6</v>
      </c>
      <c r="B232" s="5" t="str">
        <f>HYPERLINK("http://www.broadinstitute.org/gsea/msigdb/cards/GOBP_REGULATION_OF_NATURAL_KILLER_CELL_ACTIVATION.html","GOBP_REGULATION_OF_NATURAL_KILLER_CELL_ACTIVATION")</f>
        <v>GOBP_REGULATION_OF_NATURAL_KILLER_CELL_ACTIVATION</v>
      </c>
      <c r="C232" s="4">
        <v>63</v>
      </c>
      <c r="D232" s="3">
        <v>2.1201017000000002</v>
      </c>
      <c r="E232" s="1">
        <v>0</v>
      </c>
      <c r="F232" s="2">
        <v>1.467962E-4</v>
      </c>
    </row>
    <row r="233" spans="1:6" x14ac:dyDescent="0.25">
      <c r="A233" t="s">
        <v>10</v>
      </c>
      <c r="B233" s="5" t="str">
        <f>HYPERLINK("http://www.broadinstitute.org/gsea/msigdb/cards/REACTOME_COMPLEMENT_CASCADE.html","REACTOME_COMPLEMENT_CASCADE")</f>
        <v>REACTOME_COMPLEMENT_CASCADE</v>
      </c>
      <c r="C233" s="4">
        <v>47</v>
      </c>
      <c r="D233" s="3">
        <v>2.1196578000000001</v>
      </c>
      <c r="E233" s="1">
        <v>0</v>
      </c>
      <c r="F233" s="2">
        <v>1.4615795E-4</v>
      </c>
    </row>
    <row r="234" spans="1:6" x14ac:dyDescent="0.25">
      <c r="A234" t="s">
        <v>6</v>
      </c>
      <c r="B234" s="5" t="str">
        <f>HYPERLINK("http://www.broadinstitute.org/gsea/msigdb/cards/GOBP_MACROPHAGE_CHEMOTAXIS.html","GOBP_MACROPHAGE_CHEMOTAXIS")</f>
        <v>GOBP_MACROPHAGE_CHEMOTAXIS</v>
      </c>
      <c r="C234" s="4">
        <v>45</v>
      </c>
      <c r="D234" s="3">
        <v>2.1192365</v>
      </c>
      <c r="E234" s="1">
        <v>0</v>
      </c>
      <c r="F234" s="2">
        <v>1.4552523E-4</v>
      </c>
    </row>
    <row r="235" spans="1:6" x14ac:dyDescent="0.25">
      <c r="A235" t="s">
        <v>7</v>
      </c>
      <c r="B235" s="5" t="str">
        <f>HYPERLINK("http://www.broadinstitute.org/gsea/msigdb/cards/GOCC_EXTERNAL_ENCAPSULATING_STRUCTURE.html","GOCC_EXTERNAL_ENCAPSULATING_STRUCTURE")</f>
        <v>GOCC_EXTERNAL_ENCAPSULATING_STRUCTURE</v>
      </c>
      <c r="C235" s="4">
        <v>494</v>
      </c>
      <c r="D235" s="3">
        <v>2.1183709999999998</v>
      </c>
      <c r="E235" s="1">
        <v>0</v>
      </c>
      <c r="F235" s="2">
        <v>1.5428526000000001E-4</v>
      </c>
    </row>
    <row r="236" spans="1:6" x14ac:dyDescent="0.25">
      <c r="A236" t="s">
        <v>6</v>
      </c>
      <c r="B236" s="5" t="str">
        <f>HYPERLINK("http://www.broadinstitute.org/gsea/msigdb/cards/GOBP_VASCULAR_ENDOTHELIAL_GROWTH_FACTOR_RECEPTOR_SIGNALING_PATHWAY.html","GOBP_VASCULAR_ENDOTHELIAL_GROWTH_FACTOR_RECEPTOR_SIGNALING_PATHWAY")</f>
        <v>GOBP_VASCULAR_ENDOTHELIAL_GROWTH_FACTOR_RECEPTOR_SIGNALING_PATHWAY</v>
      </c>
      <c r="C236" s="4">
        <v>51</v>
      </c>
      <c r="D236" s="3">
        <v>2.1155629999999999</v>
      </c>
      <c r="E236" s="1">
        <v>0</v>
      </c>
      <c r="F236" s="2">
        <v>1.5362308000000001E-4</v>
      </c>
    </row>
    <row r="237" spans="1:6" x14ac:dyDescent="0.25">
      <c r="A237" t="s">
        <v>6</v>
      </c>
      <c r="B237" s="5" t="str">
        <f>HYPERLINK("http://www.broadinstitute.org/gsea/msigdb/cards/GOBP_ANTIGEN_PROCESSING_AND_PRESENTATION_OF_EXOGENOUS_ANTIGEN.html","GOBP_ANTIGEN_PROCESSING_AND_PRESENTATION_OF_EXOGENOUS_ANTIGEN")</f>
        <v>GOBP_ANTIGEN_PROCESSING_AND_PRESENTATION_OF_EXOGENOUS_ANTIGEN</v>
      </c>
      <c r="C237" s="4">
        <v>46</v>
      </c>
      <c r="D237" s="3">
        <v>2.1148980000000002</v>
      </c>
      <c r="E237" s="1">
        <v>0</v>
      </c>
      <c r="F237" s="2">
        <v>1.5296658E-4</v>
      </c>
    </row>
    <row r="238" spans="1:6" x14ac:dyDescent="0.25">
      <c r="A238" t="s">
        <v>6</v>
      </c>
      <c r="B238" s="5" t="str">
        <f>HYPERLINK("http://www.broadinstitute.org/gsea/msigdb/cards/GOBP_POSITIVE_REGULATION_OF_SUBSTRATE_ADHESION_DEPENDENT_CELL_SPREADING.html","GOBP_POSITIVE_REGULATION_OF_SUBSTRATE_ADHESION_DEPENDENT_CELL_SPREADING")</f>
        <v>GOBP_POSITIVE_REGULATION_OF_SUBSTRATE_ADHESION_DEPENDENT_CELL_SPREADING</v>
      </c>
      <c r="C238" s="4">
        <v>41</v>
      </c>
      <c r="D238" s="3">
        <v>2.1145429999999998</v>
      </c>
      <c r="E238" s="1">
        <v>0</v>
      </c>
      <c r="F238" s="2">
        <v>1.5231565000000001E-4</v>
      </c>
    </row>
    <row r="239" spans="1:6" x14ac:dyDescent="0.25">
      <c r="A239" t="s">
        <v>6</v>
      </c>
      <c r="B239" s="5" t="str">
        <f>HYPERLINK("http://www.broadinstitute.org/gsea/msigdb/cards/GOBP_PLATELET_AGGREGATION.html","GOBP_PLATELET_AGGREGATION")</f>
        <v>GOBP_PLATELET_AGGREGATION</v>
      </c>
      <c r="C239" s="4">
        <v>58</v>
      </c>
      <c r="D239" s="3">
        <v>2.1143196</v>
      </c>
      <c r="E239" s="1">
        <v>0</v>
      </c>
      <c r="F239" s="2">
        <v>1.5167024999999999E-4</v>
      </c>
    </row>
    <row r="240" spans="1:6" x14ac:dyDescent="0.25">
      <c r="A240" t="s">
        <v>8</v>
      </c>
      <c r="B240" s="5" t="str">
        <f>HYPERLINK("http://www.broadinstitute.org/gsea/msigdb/cards/GOMF_GLYCOSYLTRANSFERASE_ACTIVITY.html","GOMF_GLYCOSYLTRANSFERASE_ACTIVITY")</f>
        <v>GOMF_GLYCOSYLTRANSFERASE_ACTIVITY</v>
      </c>
      <c r="C240" s="4">
        <v>251</v>
      </c>
      <c r="D240" s="3">
        <v>2.1134423999999998</v>
      </c>
      <c r="E240" s="1">
        <v>0</v>
      </c>
      <c r="F240" s="2">
        <v>1.5557907999999999E-4</v>
      </c>
    </row>
    <row r="241" spans="1:6" x14ac:dyDescent="0.25">
      <c r="A241" t="s">
        <v>6</v>
      </c>
      <c r="B241" s="5" t="str">
        <f>HYPERLINK("http://www.broadinstitute.org/gsea/msigdb/cards/GOBP_POSITIVE_REGULATION_OF_MYELOID_LEUKOCYTE_MEDIATED_IMMUNITY.html","GOBP_POSITIVE_REGULATION_OF_MYELOID_LEUKOCYTE_MEDIATED_IMMUNITY")</f>
        <v>GOBP_POSITIVE_REGULATION_OF_MYELOID_LEUKOCYTE_MEDIATED_IMMUNITY</v>
      </c>
      <c r="C241" s="4">
        <v>39</v>
      </c>
      <c r="D241" s="3">
        <v>2.1132575999999998</v>
      </c>
      <c r="E241" s="1">
        <v>0</v>
      </c>
      <c r="F241" s="2">
        <v>1.5492538000000001E-4</v>
      </c>
    </row>
    <row r="242" spans="1:6" x14ac:dyDescent="0.25">
      <c r="A242" t="s">
        <v>6</v>
      </c>
      <c r="B242" s="5" t="str">
        <f>HYPERLINK("http://www.broadinstitute.org/gsea/msigdb/cards/GOBP_REGULATION_OF_T_CELL_CYTOKINE_PRODUCTION.html","GOBP_REGULATION_OF_T_CELL_CYTOKINE_PRODUCTION")</f>
        <v>GOBP_REGULATION_OF_T_CELL_CYTOKINE_PRODUCTION</v>
      </c>
      <c r="C242" s="4">
        <v>36</v>
      </c>
      <c r="D242" s="3">
        <v>2.112959</v>
      </c>
      <c r="E242" s="1">
        <v>0</v>
      </c>
      <c r="F242" s="2">
        <v>1.5427716000000001E-4</v>
      </c>
    </row>
    <row r="243" spans="1:6" x14ac:dyDescent="0.25">
      <c r="A243" t="s">
        <v>6</v>
      </c>
      <c r="B243" s="5" t="str">
        <f>HYPERLINK("http://www.broadinstitute.org/gsea/msigdb/cards/GOBP_REGULATION_OF_PROTEIN_AUTOPHOSPHORYLATION.html","GOBP_REGULATION_OF_PROTEIN_AUTOPHOSPHORYLATION")</f>
        <v>GOBP_REGULATION_OF_PROTEIN_AUTOPHOSPHORYLATION</v>
      </c>
      <c r="C243" s="4">
        <v>44</v>
      </c>
      <c r="D243" s="3">
        <v>2.1104180000000001</v>
      </c>
      <c r="E243" s="1">
        <v>0</v>
      </c>
      <c r="F243" s="2">
        <v>1.6710320999999999E-4</v>
      </c>
    </row>
    <row r="244" spans="1:6" x14ac:dyDescent="0.25">
      <c r="A244" t="s">
        <v>10</v>
      </c>
      <c r="B244" s="5" t="str">
        <f>HYPERLINK("http://www.broadinstitute.org/gsea/msigdb/cards/REACTOME_TOLL_LIKE_RECEPTOR_CASCADES.html","REACTOME_TOLL_LIKE_RECEPTOR_CASCADES")</f>
        <v>REACTOME_TOLL_LIKE_RECEPTOR_CASCADES</v>
      </c>
      <c r="C244" s="4">
        <v>143</v>
      </c>
      <c r="D244" s="3">
        <v>2.1072256999999999</v>
      </c>
      <c r="E244" s="1">
        <v>0</v>
      </c>
      <c r="F244" s="2">
        <v>1.7539646E-4</v>
      </c>
    </row>
    <row r="245" spans="1:6" x14ac:dyDescent="0.25">
      <c r="A245" t="s">
        <v>6</v>
      </c>
      <c r="B245" s="5" t="str">
        <f>HYPERLINK("http://www.broadinstitute.org/gsea/msigdb/cards/GOBP_MYELOID_LEUKOCYTE_DIFFERENTIATION.html","GOBP_MYELOID_LEUKOCYTE_DIFFERENTIATION")</f>
        <v>GOBP_MYELOID_LEUKOCYTE_DIFFERENTIATION</v>
      </c>
      <c r="C245" s="4">
        <v>255</v>
      </c>
      <c r="D245" s="3">
        <v>2.1069339999999999</v>
      </c>
      <c r="E245" s="1">
        <v>0</v>
      </c>
      <c r="F245" s="2">
        <v>1.7911477999999999E-4</v>
      </c>
    </row>
    <row r="246" spans="1:6" x14ac:dyDescent="0.25">
      <c r="A246" t="s">
        <v>6</v>
      </c>
      <c r="B246" s="5" t="str">
        <f>HYPERLINK("http://www.broadinstitute.org/gsea/msigdb/cards/GOBP_POSITIVE_REGULATION_OF_INTERLEUKIN_8_PRODUCTION.html","GOBP_POSITIVE_REGULATION_OF_INTERLEUKIN_8_PRODUCTION")</f>
        <v>GOBP_POSITIVE_REGULATION_OF_INTERLEUKIN_8_PRODUCTION</v>
      </c>
      <c r="C246" s="4">
        <v>58</v>
      </c>
      <c r="D246" s="3">
        <v>2.1067684</v>
      </c>
      <c r="E246" s="1">
        <v>0</v>
      </c>
      <c r="F246" s="2">
        <v>1.7837768000000001E-4</v>
      </c>
    </row>
    <row r="247" spans="1:6" x14ac:dyDescent="0.25">
      <c r="A247" t="s">
        <v>6</v>
      </c>
      <c r="B247" s="5" t="str">
        <f>HYPERLINK("http://www.broadinstitute.org/gsea/msigdb/cards/GOBP_INTERLEUKIN_1_BETA_PRODUCTION.html","GOBP_INTERLEUKIN_1_BETA_PRODUCTION")</f>
        <v>GOBP_INTERLEUKIN_1_BETA_PRODUCTION</v>
      </c>
      <c r="C247" s="4">
        <v>97</v>
      </c>
      <c r="D247" s="3">
        <v>2.1063982999999999</v>
      </c>
      <c r="E247" s="1">
        <v>0</v>
      </c>
      <c r="F247" s="2">
        <v>1.7764661999999999E-4</v>
      </c>
    </row>
    <row r="248" spans="1:6" x14ac:dyDescent="0.25">
      <c r="A248" t="s">
        <v>6</v>
      </c>
      <c r="B248" s="5" t="str">
        <f>HYPERLINK("http://www.broadinstitute.org/gsea/msigdb/cards/GOBP_REGULATION_OF_ANTIGEN_PROCESSING_AND_PRESENTATION.html","GOBP_REGULATION_OF_ANTIGEN_PROCESSING_AND_PRESENTATION")</f>
        <v>GOBP_REGULATION_OF_ANTIGEN_PROCESSING_AND_PRESENTATION</v>
      </c>
      <c r="C248" s="4">
        <v>20</v>
      </c>
      <c r="D248" s="3">
        <v>2.1054287</v>
      </c>
      <c r="E248" s="1">
        <v>0</v>
      </c>
      <c r="F248" s="2">
        <v>1.8137203999999999E-4</v>
      </c>
    </row>
    <row r="249" spans="1:6" x14ac:dyDescent="0.25">
      <c r="A249" t="s">
        <v>6</v>
      </c>
      <c r="B249" s="5" t="str">
        <f>HYPERLINK("http://www.broadinstitute.org/gsea/msigdb/cards/GOBP_T_HELPER_1_TYPE_IMMUNE_RESPONSE.html","GOBP_T_HELPER_1_TYPE_IMMUNE_RESPONSE")</f>
        <v>GOBP_T_HELPER_1_TYPE_IMMUNE_RESPONSE</v>
      </c>
      <c r="C249" s="4">
        <v>52</v>
      </c>
      <c r="D249" s="3">
        <v>2.1053674</v>
      </c>
      <c r="E249" s="1">
        <v>0</v>
      </c>
      <c r="F249" s="2">
        <v>1.8063475999999999E-4</v>
      </c>
    </row>
    <row r="250" spans="1:6" x14ac:dyDescent="0.25">
      <c r="A250" t="s">
        <v>6</v>
      </c>
      <c r="B250" s="5" t="str">
        <f>HYPERLINK("http://www.broadinstitute.org/gsea/msigdb/cards/GOBP_LEUKOCYTE_TETHERING_OR_ROLLING.html","GOBP_LEUKOCYTE_TETHERING_OR_ROLLING")</f>
        <v>GOBP_LEUKOCYTE_TETHERING_OR_ROLLING</v>
      </c>
      <c r="C250" s="4">
        <v>35</v>
      </c>
      <c r="D250" s="3">
        <v>2.1043672999999998</v>
      </c>
      <c r="E250" s="1">
        <v>0</v>
      </c>
      <c r="F250" s="2">
        <v>1.8427546E-4</v>
      </c>
    </row>
    <row r="251" spans="1:6" x14ac:dyDescent="0.25">
      <c r="A251" t="s">
        <v>6</v>
      </c>
      <c r="B251" s="5" t="str">
        <f>HYPERLINK("http://www.broadinstitute.org/gsea/msigdb/cards/GOBP_REGULATION_OF_T_HELPER_1_TYPE_IMMUNE_RESPONSE.html","GOBP_REGULATION_OF_T_HELPER_1_TYPE_IMMUNE_RESPONSE")</f>
        <v>GOBP_REGULATION_OF_T_HELPER_1_TYPE_IMMUNE_RESPONSE</v>
      </c>
      <c r="C251" s="4">
        <v>32</v>
      </c>
      <c r="D251" s="3">
        <v>2.099218</v>
      </c>
      <c r="E251" s="1">
        <v>0</v>
      </c>
      <c r="F251" s="2">
        <v>1.9655310999999999E-4</v>
      </c>
    </row>
    <row r="252" spans="1:6" x14ac:dyDescent="0.25">
      <c r="A252" t="s">
        <v>6</v>
      </c>
      <c r="B252" s="5" t="str">
        <f>HYPERLINK("http://www.broadinstitute.org/gsea/msigdb/cards/GOBP_NEUTROPHIL_MEDIATED_IMMUNITY.html","GOBP_NEUTROPHIL_MEDIATED_IMMUNITY")</f>
        <v>GOBP_NEUTROPHIL_MEDIATED_IMMUNITY</v>
      </c>
      <c r="C252" s="4">
        <v>39</v>
      </c>
      <c r="D252" s="3">
        <v>2.0968418</v>
      </c>
      <c r="E252" s="1">
        <v>0</v>
      </c>
      <c r="F252" s="2">
        <v>2.0879363000000001E-4</v>
      </c>
    </row>
    <row r="253" spans="1:6" x14ac:dyDescent="0.25">
      <c r="A253" t="s">
        <v>6</v>
      </c>
      <c r="B253" s="5" t="str">
        <f>HYPERLINK("http://www.broadinstitute.org/gsea/msigdb/cards/GOBP_REGULATION_OF_LEUKOCYTE_ADHESION_TO_VASCULAR_ENDOTHELIAL_CELL.html","GOBP_REGULATION_OF_LEUKOCYTE_ADHESION_TO_VASCULAR_ENDOTHELIAL_CELL")</f>
        <v>GOBP_REGULATION_OF_LEUKOCYTE_ADHESION_TO_VASCULAR_ENDOTHELIAL_CELL</v>
      </c>
      <c r="C253" s="4">
        <v>33</v>
      </c>
      <c r="D253" s="3">
        <v>2.0967018999999998</v>
      </c>
      <c r="E253" s="1">
        <v>0</v>
      </c>
      <c r="F253" s="2">
        <v>2.0795847E-4</v>
      </c>
    </row>
    <row r="254" spans="1:6" x14ac:dyDescent="0.25">
      <c r="A254" t="s">
        <v>10</v>
      </c>
      <c r="B254" s="5" t="str">
        <f>HYPERLINK("http://www.broadinstitute.org/gsea/msigdb/cards/REACTOME_DEGRADATION_OF_THE_EXTRACELLULAR_MATRIX.html","REACTOME_DEGRADATION_OF_THE_EXTRACELLULAR_MATRIX")</f>
        <v>REACTOME_DEGRADATION_OF_THE_EXTRACELLULAR_MATRIX</v>
      </c>
      <c r="C254" s="4">
        <v>102</v>
      </c>
      <c r="D254" s="3">
        <v>2.0961164999999999</v>
      </c>
      <c r="E254" s="1">
        <v>0</v>
      </c>
      <c r="F254" s="2">
        <v>2.0712994E-4</v>
      </c>
    </row>
    <row r="255" spans="1:6" x14ac:dyDescent="0.25">
      <c r="A255" t="s">
        <v>10</v>
      </c>
      <c r="B255" s="5" t="str">
        <f>HYPERLINK("http://www.broadinstitute.org/gsea/msigdb/cards/REACTOME_DAP12_INTERACTIONS.html","REACTOME_DAP12_INTERACTIONS")</f>
        <v>REACTOME_DAP12_INTERACTIONS</v>
      </c>
      <c r="C255" s="4">
        <v>57</v>
      </c>
      <c r="D255" s="3">
        <v>2.094878</v>
      </c>
      <c r="E255" s="1">
        <v>0</v>
      </c>
      <c r="F255" s="2">
        <v>2.0630799E-4</v>
      </c>
    </row>
    <row r="256" spans="1:6" x14ac:dyDescent="0.25">
      <c r="A256" t="s">
        <v>8</v>
      </c>
      <c r="B256" s="5" t="str">
        <f>HYPERLINK("http://www.broadinstitute.org/gsea/msigdb/cards/GOMF_NADPLUS_PROTEIN_ADP_RIBOSYLTRANSFERASE_ACTIVITY.html","GOMF_NADPLUS_PROTEIN_ADP_RIBOSYLTRANSFERASE_ACTIVITY")</f>
        <v>GOMF_NADPLUS_PROTEIN_ADP_RIBOSYLTRANSFERASE_ACTIVITY</v>
      </c>
      <c r="C256" s="4">
        <v>24</v>
      </c>
      <c r="D256" s="3">
        <v>2.0948098000000002</v>
      </c>
      <c r="E256" s="1">
        <v>0</v>
      </c>
      <c r="F256" s="2">
        <v>2.0549254E-4</v>
      </c>
    </row>
    <row r="257" spans="1:6" x14ac:dyDescent="0.25">
      <c r="A257" t="s">
        <v>6</v>
      </c>
      <c r="B257" s="5" t="str">
        <f>HYPERLINK("http://www.broadinstitute.org/gsea/msigdb/cards/GOBP_INTERLEUKIN_10_PRODUCTION.html","GOBP_INTERLEUKIN_10_PRODUCTION")</f>
        <v>GOBP_INTERLEUKIN_10_PRODUCTION</v>
      </c>
      <c r="C257" s="4">
        <v>66</v>
      </c>
      <c r="D257" s="3">
        <v>2.0921302000000002</v>
      </c>
      <c r="E257" s="1">
        <v>0</v>
      </c>
      <c r="F257" s="2">
        <v>2.1748024E-4</v>
      </c>
    </row>
    <row r="258" spans="1:6" x14ac:dyDescent="0.25">
      <c r="A258" t="s">
        <v>6</v>
      </c>
      <c r="B258" s="5" t="str">
        <f>HYPERLINK("http://www.broadinstitute.org/gsea/msigdb/cards/GOBP_POSITIVE_REGULATION_OF_INTERLEUKIN_6_PRODUCTION.html","GOBP_POSITIVE_REGULATION_OF_INTERLEUKIN_6_PRODUCTION")</f>
        <v>GOBP_POSITIVE_REGULATION_OF_INTERLEUKIN_6_PRODUCTION</v>
      </c>
      <c r="C258" s="4">
        <v>112</v>
      </c>
      <c r="D258" s="3">
        <v>2.0915978000000002</v>
      </c>
      <c r="E258" s="1">
        <v>0</v>
      </c>
      <c r="F258" s="2">
        <v>2.1662738E-4</v>
      </c>
    </row>
    <row r="259" spans="1:6" x14ac:dyDescent="0.25">
      <c r="A259" t="s">
        <v>6</v>
      </c>
      <c r="B259" s="5" t="str">
        <f>HYPERLINK("http://www.broadinstitute.org/gsea/msigdb/cards/GOBP_MAST_CELL_ACTIVATION.html","GOBP_MAST_CELL_ACTIVATION")</f>
        <v>GOBP_MAST_CELL_ACTIVATION</v>
      </c>
      <c r="C259" s="4">
        <v>87</v>
      </c>
      <c r="D259" s="3">
        <v>2.0914478000000001</v>
      </c>
      <c r="E259" s="1">
        <v>0</v>
      </c>
      <c r="F259" s="2">
        <v>2.1578118E-4</v>
      </c>
    </row>
    <row r="260" spans="1:6" x14ac:dyDescent="0.25">
      <c r="A260" t="s">
        <v>6</v>
      </c>
      <c r="B260" s="5" t="str">
        <f>HYPERLINK("http://www.broadinstitute.org/gsea/msigdb/cards/GOBP_ENDOLYSOSOMAL_TOLL_LIKE_RECEPTOR_SIGNALING_PATHWAY.html","GOBP_ENDOLYSOSOMAL_TOLL_LIKE_RECEPTOR_SIGNALING_PATHWAY")</f>
        <v>GOBP_ENDOLYSOSOMAL_TOLL_LIKE_RECEPTOR_SIGNALING_PATHWAY</v>
      </c>
      <c r="C260" s="4">
        <v>50</v>
      </c>
      <c r="D260" s="3">
        <v>2.0904653</v>
      </c>
      <c r="E260" s="1">
        <v>0</v>
      </c>
      <c r="F260" s="2">
        <v>2.1913135E-4</v>
      </c>
    </row>
    <row r="261" spans="1:6" x14ac:dyDescent="0.25">
      <c r="A261" t="s">
        <v>6</v>
      </c>
      <c r="B261" s="5" t="str">
        <f>HYPERLINK("http://www.broadinstitute.org/gsea/msigdb/cards/GOBP_T_CELL_MEDIATED_CYTOTOXICITY.html","GOBP_T_CELL_MEDIATED_CYTOTOXICITY")</f>
        <v>GOBP_T_CELL_MEDIATED_CYTOTOXICITY</v>
      </c>
      <c r="C261" s="4">
        <v>62</v>
      </c>
      <c r="D261" s="3">
        <v>2.0904098000000002</v>
      </c>
      <c r="E261" s="1">
        <v>0</v>
      </c>
      <c r="F261" s="2">
        <v>2.1828202000000001E-4</v>
      </c>
    </row>
    <row r="262" spans="1:6" x14ac:dyDescent="0.25">
      <c r="A262" t="s">
        <v>6</v>
      </c>
      <c r="B262" s="5" t="str">
        <f>HYPERLINK("http://www.broadinstitute.org/gsea/msigdb/cards/GOBP_MEMBRANE_PROTEIN_PROTEOLYSIS.html","GOBP_MEMBRANE_PROTEIN_PROTEOLYSIS")</f>
        <v>GOBP_MEMBRANE_PROTEIN_PROTEOLYSIS</v>
      </c>
      <c r="C262" s="4">
        <v>57</v>
      </c>
      <c r="D262" s="3">
        <v>2.0892518</v>
      </c>
      <c r="E262" s="1">
        <v>0</v>
      </c>
      <c r="F262" s="2">
        <v>2.1743922999999999E-4</v>
      </c>
    </row>
    <row r="263" spans="1:6" x14ac:dyDescent="0.25">
      <c r="A263" t="s">
        <v>6</v>
      </c>
      <c r="B263" s="5" t="str">
        <f>HYPERLINK("http://www.broadinstitute.org/gsea/msigdb/cards/GOBP_DETECTION_OF_OTHER_ORGANISM.html","GOBP_DETECTION_OF_OTHER_ORGANISM")</f>
        <v>GOBP_DETECTION_OF_OTHER_ORGANISM</v>
      </c>
      <c r="C263" s="4">
        <v>19</v>
      </c>
      <c r="D263" s="3">
        <v>2.0879455</v>
      </c>
      <c r="E263" s="1">
        <v>0</v>
      </c>
      <c r="F263" s="2">
        <v>2.1660291999999999E-4</v>
      </c>
    </row>
    <row r="264" spans="1:6" x14ac:dyDescent="0.25">
      <c r="A264" t="s">
        <v>11</v>
      </c>
      <c r="B264" s="5" t="str">
        <f>HYPERLINK("http://www.broadinstitute.org/gsea/msigdb/cards/WP_IL_5_SIGNALING_PATHWAY.html","WP_IL_5_SIGNALING_PATHWAY")</f>
        <v>WP_IL_5_SIGNALING_PATHWAY</v>
      </c>
      <c r="C264" s="4">
        <v>68</v>
      </c>
      <c r="D264" s="3">
        <v>2.0854349999999999</v>
      </c>
      <c r="E264" s="1">
        <v>0</v>
      </c>
      <c r="F264" s="2">
        <v>2.2407404E-4</v>
      </c>
    </row>
    <row r="265" spans="1:6" x14ac:dyDescent="0.25">
      <c r="A265" t="s">
        <v>6</v>
      </c>
      <c r="B265" s="5" t="str">
        <f>HYPERLINK("http://www.broadinstitute.org/gsea/msigdb/cards/GOBP_POSITIVE_REGULATION_OF_MONONUCLEAR_CELL_MIGRATION.html","GOBP_POSITIVE_REGULATION_OF_MONONUCLEAR_CELL_MIGRATION")</f>
        <v>GOBP_POSITIVE_REGULATION_OF_MONONUCLEAR_CELL_MIGRATION</v>
      </c>
      <c r="C265" s="4">
        <v>74</v>
      </c>
      <c r="D265" s="3">
        <v>2.0846567</v>
      </c>
      <c r="E265" s="1">
        <v>0</v>
      </c>
      <c r="F265" s="2">
        <v>2.2321879999999999E-4</v>
      </c>
    </row>
    <row r="266" spans="1:6" x14ac:dyDescent="0.25">
      <c r="A266" t="s">
        <v>6</v>
      </c>
      <c r="B266" s="5" t="str">
        <f>HYPERLINK("http://www.broadinstitute.org/gsea/msigdb/cards/GOBP_POSITIVE_REGULATION_OF_LEUKOCYTE_PROLIFERATION.html","GOBP_POSITIVE_REGULATION_OF_LEUKOCYTE_PROLIFERATION")</f>
        <v>GOBP_POSITIVE_REGULATION_OF_LEUKOCYTE_PROLIFERATION</v>
      </c>
      <c r="C266" s="4">
        <v>183</v>
      </c>
      <c r="D266" s="3">
        <v>2.0826034999999998</v>
      </c>
      <c r="E266" s="1">
        <v>0</v>
      </c>
      <c r="F266" s="2">
        <v>2.3466437E-4</v>
      </c>
    </row>
    <row r="267" spans="1:6" x14ac:dyDescent="0.25">
      <c r="A267" t="s">
        <v>6</v>
      </c>
      <c r="B267" s="5" t="str">
        <f>HYPERLINK("http://www.broadinstitute.org/gsea/msigdb/cards/GOBP_BONE_RESORPTION.html","GOBP_BONE_RESORPTION")</f>
        <v>GOBP_BONE_RESORPTION</v>
      </c>
      <c r="C267" s="4">
        <v>76</v>
      </c>
      <c r="D267" s="3">
        <v>2.0820660000000002</v>
      </c>
      <c r="E267" s="1">
        <v>0</v>
      </c>
      <c r="F267" s="2">
        <v>2.3377550000000001E-4</v>
      </c>
    </row>
    <row r="268" spans="1:6" x14ac:dyDescent="0.25">
      <c r="A268" t="s">
        <v>6</v>
      </c>
      <c r="B268" s="5" t="str">
        <f>HYPERLINK("http://www.broadinstitute.org/gsea/msigdb/cards/GOBP_NEGATIVE_REGULATION_OF_B_CELL_ACTIVATION.html","GOBP_NEGATIVE_REGULATION_OF_B_CELL_ACTIVATION")</f>
        <v>GOBP_NEGATIVE_REGULATION_OF_B_CELL_ACTIVATION</v>
      </c>
      <c r="C268" s="4">
        <v>37</v>
      </c>
      <c r="D268" s="3">
        <v>2.0812515999999999</v>
      </c>
      <c r="E268" s="1">
        <v>0</v>
      </c>
      <c r="F268" s="2">
        <v>2.3702097999999999E-4</v>
      </c>
    </row>
    <row r="269" spans="1:6" x14ac:dyDescent="0.25">
      <c r="A269" t="s">
        <v>6</v>
      </c>
      <c r="B269" s="5" t="str">
        <f>HYPERLINK("http://www.broadinstitute.org/gsea/msigdb/cards/GOBP_LEUKOCYTE_CELL_CELL_ADHESION.html","GOBP_LEUKOCYTE_CELL_CELL_ADHESION")</f>
        <v>GOBP_LEUKOCYTE_CELL_CELL_ADHESION</v>
      </c>
      <c r="C269" s="4">
        <v>416</v>
      </c>
      <c r="D269" s="3">
        <v>2.0811465</v>
      </c>
      <c r="E269" s="1">
        <v>0</v>
      </c>
      <c r="F269" s="2">
        <v>2.3612993000000001E-4</v>
      </c>
    </row>
    <row r="270" spans="1:6" x14ac:dyDescent="0.25">
      <c r="A270" t="s">
        <v>6</v>
      </c>
      <c r="B270" s="5" t="str">
        <f>HYPERLINK("http://www.broadinstitute.org/gsea/msigdb/cards/GOBP_IMMUNE_RESPONSE_REGULATING_CELL_SURFACE_RECEPTOR_SIGNALING_PATHWAY.html","GOBP_IMMUNE_RESPONSE_REGULATING_CELL_SURFACE_RECEPTOR_SIGNALING_PATHWAY")</f>
        <v>GOBP_IMMUNE_RESPONSE_REGULATING_CELL_SURFACE_RECEPTOR_SIGNALING_PATHWAY</v>
      </c>
      <c r="C270" s="4">
        <v>279</v>
      </c>
      <c r="D270" s="3">
        <v>2.0808393999999999</v>
      </c>
      <c r="E270" s="1">
        <v>0</v>
      </c>
      <c r="F270" s="2">
        <v>2.3524555999999999E-4</v>
      </c>
    </row>
    <row r="271" spans="1:6" x14ac:dyDescent="0.25">
      <c r="A271" t="s">
        <v>6</v>
      </c>
      <c r="B271" s="5" t="str">
        <f>HYPERLINK("http://www.broadinstitute.org/gsea/msigdb/cards/GOBP_REGULATION_OF_ACUTE_INFLAMMATORY_RESPONSE.html","GOBP_REGULATION_OF_ACUTE_INFLAMMATORY_RESPONSE")</f>
        <v>GOBP_REGULATION_OF_ACUTE_INFLAMMATORY_RESPONSE</v>
      </c>
      <c r="C271" s="4">
        <v>62</v>
      </c>
      <c r="D271" s="3">
        <v>2.0797648</v>
      </c>
      <c r="E271" s="1">
        <v>0</v>
      </c>
      <c r="F271" s="2">
        <v>2.3436778E-4</v>
      </c>
    </row>
    <row r="272" spans="1:6" x14ac:dyDescent="0.25">
      <c r="A272" t="s">
        <v>8</v>
      </c>
      <c r="B272" s="5" t="str">
        <f>HYPERLINK("http://www.broadinstitute.org/gsea/msigdb/cards/GOMF_MANNOSE_BINDING.html","GOMF_MANNOSE_BINDING")</f>
        <v>GOMF_MANNOSE_BINDING</v>
      </c>
      <c r="C272" s="4">
        <v>33</v>
      </c>
      <c r="D272" s="3">
        <v>2.0764904</v>
      </c>
      <c r="E272" s="1">
        <v>0</v>
      </c>
      <c r="F272" s="2">
        <v>2.5757062E-4</v>
      </c>
    </row>
    <row r="273" spans="1:6" x14ac:dyDescent="0.25">
      <c r="A273" t="s">
        <v>6</v>
      </c>
      <c r="B273" s="5" t="str">
        <f>HYPERLINK("http://www.broadinstitute.org/gsea/msigdb/cards/GOBP_REGULATION_OF_INTEGRIN_MEDIATED_SIGNALING_PATHWAY.html","GOBP_REGULATION_OF_INTEGRIN_MEDIATED_SIGNALING_PATHWAY")</f>
        <v>GOBP_REGULATION_OF_INTEGRIN_MEDIATED_SIGNALING_PATHWAY</v>
      </c>
      <c r="C273" s="4">
        <v>20</v>
      </c>
      <c r="D273" s="3">
        <v>2.0764477000000001</v>
      </c>
      <c r="E273" s="1">
        <v>0</v>
      </c>
      <c r="F273" s="2">
        <v>2.5661664999999999E-4</v>
      </c>
    </row>
    <row r="274" spans="1:6" x14ac:dyDescent="0.25">
      <c r="A274" t="s">
        <v>10</v>
      </c>
      <c r="B274" s="5" t="str">
        <f>HYPERLINK("http://www.broadinstitute.org/gsea/msigdb/cards/REACTOME_ECM_PROTEOGLYCANS.html","REACTOME_ECM_PROTEOGLYCANS")</f>
        <v>REACTOME_ECM_PROTEOGLYCANS</v>
      </c>
      <c r="C274" s="4">
        <v>47</v>
      </c>
      <c r="D274" s="3">
        <v>2.0751240000000002</v>
      </c>
      <c r="E274" s="1">
        <v>0</v>
      </c>
      <c r="F274" s="2">
        <v>2.556697E-4</v>
      </c>
    </row>
    <row r="275" spans="1:6" x14ac:dyDescent="0.25">
      <c r="A275" t="s">
        <v>6</v>
      </c>
      <c r="B275" s="5" t="str">
        <f>HYPERLINK("http://www.broadinstitute.org/gsea/msigdb/cards/GOBP_INTERFERON_MEDIATED_SIGNALING_PATHWAY.html","GOBP_INTERFERON_MEDIATED_SIGNALING_PATHWAY")</f>
        <v>GOBP_INTERFERON_MEDIATED_SIGNALING_PATHWAY</v>
      </c>
      <c r="C275" s="4">
        <v>79</v>
      </c>
      <c r="D275" s="3">
        <v>2.0748959999999999</v>
      </c>
      <c r="E275" s="1">
        <v>0</v>
      </c>
      <c r="F275" s="2">
        <v>2.5873946000000002E-4</v>
      </c>
    </row>
    <row r="276" spans="1:6" x14ac:dyDescent="0.25">
      <c r="A276" t="s">
        <v>6</v>
      </c>
      <c r="B276" s="5" t="str">
        <f>HYPERLINK("http://www.broadinstitute.org/gsea/msigdb/cards/GOBP_POSITIVE_REGULATION_OF_LEUKOCYTE_CELL_CELL_ADHESION.html","GOBP_POSITIVE_REGULATION_OF_LEUKOCYTE_CELL_CELL_ADHESION")</f>
        <v>GOBP_POSITIVE_REGULATION_OF_LEUKOCYTE_CELL_CELL_ADHESION</v>
      </c>
      <c r="C276" s="4">
        <v>280</v>
      </c>
      <c r="D276" s="3">
        <v>2.0738075</v>
      </c>
      <c r="E276" s="1">
        <v>0</v>
      </c>
      <c r="F276" s="2">
        <v>2.6179064000000002E-4</v>
      </c>
    </row>
    <row r="277" spans="1:6" x14ac:dyDescent="0.25">
      <c r="A277" t="s">
        <v>8</v>
      </c>
      <c r="B277" s="5" t="str">
        <f>HYPERLINK("http://www.broadinstitute.org/gsea/msigdb/cards/GOMF_PHOSPHATIDYLINOSITOL_3_4_BISPHOSPHATE_BINDING.html","GOMF_PHOSPHATIDYLINOSITOL_3_4_BISPHOSPHATE_BINDING")</f>
        <v>GOMF_PHOSPHATIDYLINOSITOL_3_4_BISPHOSPHATE_BINDING</v>
      </c>
      <c r="C277" s="4">
        <v>30</v>
      </c>
      <c r="D277" s="3">
        <v>2.0735009999999998</v>
      </c>
      <c r="E277" s="1">
        <v>0</v>
      </c>
      <c r="F277" s="2">
        <v>2.6083520000000002E-4</v>
      </c>
    </row>
    <row r="278" spans="1:6" x14ac:dyDescent="0.25">
      <c r="A278" t="s">
        <v>6</v>
      </c>
      <c r="B278" s="5" t="str">
        <f>HYPERLINK("http://www.broadinstitute.org/gsea/msigdb/cards/GOBP_REGULATION_OF_MONOCYTE_CHEMOTAXIS.html","GOBP_REGULATION_OF_MONOCYTE_CHEMOTAXIS")</f>
        <v>GOBP_REGULATION_OF_MONOCYTE_CHEMOTAXIS</v>
      </c>
      <c r="C278" s="4">
        <v>31</v>
      </c>
      <c r="D278" s="3">
        <v>2.0728705000000001</v>
      </c>
      <c r="E278" s="1">
        <v>0</v>
      </c>
      <c r="F278" s="2">
        <v>2.6374755999999998E-4</v>
      </c>
    </row>
    <row r="279" spans="1:6" x14ac:dyDescent="0.25">
      <c r="A279" t="s">
        <v>6</v>
      </c>
      <c r="B279" s="5" t="str">
        <f>HYPERLINK("http://www.broadinstitute.org/gsea/msigdb/cards/GOBP_RESPONSE_TO_INTERFERON_ALPHA.html","GOBP_RESPONSE_TO_INTERFERON_ALPHA")</f>
        <v>GOBP_RESPONSE_TO_INTERFERON_ALPHA</v>
      </c>
      <c r="C279" s="4">
        <v>30</v>
      </c>
      <c r="D279" s="3">
        <v>2.0719044000000002</v>
      </c>
      <c r="E279" s="1">
        <v>0</v>
      </c>
      <c r="F279" s="2">
        <v>2.7466836000000002E-4</v>
      </c>
    </row>
    <row r="280" spans="1:6" x14ac:dyDescent="0.25">
      <c r="A280" t="s">
        <v>6</v>
      </c>
      <c r="B280" s="5" t="str">
        <f>HYPERLINK("http://www.broadinstitute.org/gsea/msigdb/cards/GOBP_T_CELL_CHEMOTAXIS.html","GOBP_T_CELL_CHEMOTAXIS")</f>
        <v>GOBP_T_CELL_CHEMOTAXIS</v>
      </c>
      <c r="C280" s="4">
        <v>21</v>
      </c>
      <c r="D280" s="3">
        <v>2.0716093</v>
      </c>
      <c r="E280" s="1">
        <v>0</v>
      </c>
      <c r="F280" s="2">
        <v>2.7367679999999999E-4</v>
      </c>
    </row>
    <row r="281" spans="1:6" x14ac:dyDescent="0.25">
      <c r="A281" t="s">
        <v>6</v>
      </c>
      <c r="B281" s="5" t="str">
        <f>HYPERLINK("http://www.broadinstitute.org/gsea/msigdb/cards/GOBP_PINOCYTOSIS.html","GOBP_PINOCYTOSIS")</f>
        <v>GOBP_PINOCYTOSIS</v>
      </c>
      <c r="C281" s="4">
        <v>22</v>
      </c>
      <c r="D281" s="3">
        <v>2.0707911999999999</v>
      </c>
      <c r="E281" s="1">
        <v>0</v>
      </c>
      <c r="F281" s="2">
        <v>2.7658335999999998E-4</v>
      </c>
    </row>
    <row r="282" spans="1:6" x14ac:dyDescent="0.25">
      <c r="A282" t="s">
        <v>10</v>
      </c>
      <c r="B282" s="5" t="str">
        <f>HYPERLINK("http://www.broadinstitute.org/gsea/msigdb/cards/REACTOME_O_LINKED_GLYCOSYLATION_OF_MUCINS.html","REACTOME_O_LINKED_GLYCOSYLATION_OF_MUCINS")</f>
        <v>REACTOME_O_LINKED_GLYCOSYLATION_OF_MUCINS</v>
      </c>
      <c r="C282" s="4">
        <v>54</v>
      </c>
      <c r="D282" s="3">
        <v>2.0674982000000002</v>
      </c>
      <c r="E282" s="1">
        <v>0</v>
      </c>
      <c r="F282" s="2">
        <v>2.8731981999999999E-4</v>
      </c>
    </row>
    <row r="283" spans="1:6" x14ac:dyDescent="0.25">
      <c r="A283" t="s">
        <v>8</v>
      </c>
      <c r="B283" s="5" t="str">
        <f>HYPERLINK("http://www.broadinstitute.org/gsea/msigdb/cards/GOMF_CHEMOKINE_RECEPTOR_BINDING.html","GOMF_CHEMOKINE_RECEPTOR_BINDING")</f>
        <v>GOMF_CHEMOKINE_RECEPTOR_BINDING</v>
      </c>
      <c r="C283" s="4">
        <v>58</v>
      </c>
      <c r="D283" s="3">
        <v>2.0674503</v>
      </c>
      <c r="E283" s="1">
        <v>0</v>
      </c>
      <c r="F283" s="2">
        <v>2.8629368000000001E-4</v>
      </c>
    </row>
    <row r="284" spans="1:6" x14ac:dyDescent="0.25">
      <c r="A284" t="s">
        <v>6</v>
      </c>
      <c r="B284" s="5" t="str">
        <f>HYPERLINK("http://www.broadinstitute.org/gsea/msigdb/cards/GOBP_POSITIVE_REGULATION_OF_ALPHA_BETA_T_CELL_PROLIFERATION.html","GOBP_POSITIVE_REGULATION_OF_ALPHA_BETA_T_CELL_PROLIFERATION")</f>
        <v>GOBP_POSITIVE_REGULATION_OF_ALPHA_BETA_T_CELL_PROLIFERATION</v>
      </c>
      <c r="C284" s="4">
        <v>40</v>
      </c>
      <c r="D284" s="3">
        <v>2.0669816000000001</v>
      </c>
      <c r="E284" s="1">
        <v>0</v>
      </c>
      <c r="F284" s="2">
        <v>2.8527484000000002E-4</v>
      </c>
    </row>
    <row r="285" spans="1:6" x14ac:dyDescent="0.25">
      <c r="A285" t="s">
        <v>8</v>
      </c>
      <c r="B285" s="5" t="str">
        <f>HYPERLINK("http://www.broadinstitute.org/gsea/msigdb/cards/GOMF_SIGNALING_ADAPTOR_ACTIVITY.html","GOMF_SIGNALING_ADAPTOR_ACTIVITY")</f>
        <v>GOMF_SIGNALING_ADAPTOR_ACTIVITY</v>
      </c>
      <c r="C285" s="4">
        <v>86</v>
      </c>
      <c r="D285" s="3">
        <v>2.0668856999999998</v>
      </c>
      <c r="E285" s="1">
        <v>0</v>
      </c>
      <c r="F285" s="2">
        <v>2.8426321999999997E-4</v>
      </c>
    </row>
    <row r="286" spans="1:6" x14ac:dyDescent="0.25">
      <c r="A286" t="s">
        <v>7</v>
      </c>
      <c r="B286" s="5" t="str">
        <f>HYPERLINK("http://www.broadinstitute.org/gsea/msigdb/cards/GOCC_ENDOPLASMIC_RETICULUM_EXIT_SITE.html","GOCC_ENDOPLASMIC_RETICULUM_EXIT_SITE")</f>
        <v>GOCC_ENDOPLASMIC_RETICULUM_EXIT_SITE</v>
      </c>
      <c r="C286" s="4">
        <v>31</v>
      </c>
      <c r="D286" s="3">
        <v>2.0662265</v>
      </c>
      <c r="E286" s="1">
        <v>0</v>
      </c>
      <c r="F286" s="2">
        <v>2.8712954000000002E-4</v>
      </c>
    </row>
    <row r="287" spans="1:6" x14ac:dyDescent="0.25">
      <c r="A287" t="s">
        <v>6</v>
      </c>
      <c r="B287" s="5" t="str">
        <f>HYPERLINK("http://www.broadinstitute.org/gsea/msigdb/cards/GOBP_ENDOTHELIAL_CELL_MIGRATION.html","GOBP_ENDOTHELIAL_CELL_MIGRATION")</f>
        <v>GOBP_ENDOTHELIAL_CELL_MIGRATION</v>
      </c>
      <c r="C287" s="4">
        <v>225</v>
      </c>
      <c r="D287" s="3">
        <v>2.0659901999999999</v>
      </c>
      <c r="E287" s="1">
        <v>0</v>
      </c>
      <c r="F287" s="2">
        <v>2.8611853000000002E-4</v>
      </c>
    </row>
    <row r="288" spans="1:6" x14ac:dyDescent="0.25">
      <c r="A288" t="s">
        <v>6</v>
      </c>
      <c r="B288" s="5" t="str">
        <f>HYPERLINK("http://www.broadinstitute.org/gsea/msigdb/cards/GOBP_POSITIVE_REGULATION_OF_T_CELL_MEDIATED_IMMUNITY.html","GOBP_POSITIVE_REGULATION_OF_T_CELL_MEDIATED_IMMUNITY")</f>
        <v>GOBP_POSITIVE_REGULATION_OF_T_CELL_MEDIATED_IMMUNITY</v>
      </c>
      <c r="C288" s="4">
        <v>72</v>
      </c>
      <c r="D288" s="3">
        <v>2.0655405999999998</v>
      </c>
      <c r="E288" s="1">
        <v>0</v>
      </c>
      <c r="F288" s="2">
        <v>2.8511459999999998E-4</v>
      </c>
    </row>
    <row r="289" spans="1:6" x14ac:dyDescent="0.25">
      <c r="A289" t="s">
        <v>6</v>
      </c>
      <c r="B289" s="5" t="str">
        <f>HYPERLINK("http://www.broadinstitute.org/gsea/msigdb/cards/GOBP_NEGATIVE_REGULATION_OF_PRODUCTION_OF_MOLECULAR_MEDIATOR_OF_IMMUNE_RESPONSE.html","GOBP_NEGATIVE_REGULATION_OF_PRODUCTION_OF_MOLECULAR_MEDIATOR_OF_IMMUNE_RESPONSE")</f>
        <v>GOBP_NEGATIVE_REGULATION_OF_PRODUCTION_OF_MOLECULAR_MEDIATOR_OF_IMMUNE_RESPONSE</v>
      </c>
      <c r="C289" s="4">
        <v>46</v>
      </c>
      <c r="D289" s="3">
        <v>2.0642035000000001</v>
      </c>
      <c r="E289" s="1">
        <v>0</v>
      </c>
      <c r="F289" s="2">
        <v>2.9549170000000002E-4</v>
      </c>
    </row>
    <row r="290" spans="1:6" x14ac:dyDescent="0.25">
      <c r="A290" t="s">
        <v>6</v>
      </c>
      <c r="B290" s="5" t="str">
        <f>HYPERLINK("http://www.broadinstitute.org/gsea/msigdb/cards/GOBP_POSITIVE_REGULATION_OF_T_CELL_PROLIFERATION.html","GOBP_POSITIVE_REGULATION_OF_T_CELL_PROLIFERATION")</f>
        <v>GOBP_POSITIVE_REGULATION_OF_T_CELL_PROLIFERATION</v>
      </c>
      <c r="C290" s="4">
        <v>124</v>
      </c>
      <c r="D290" s="3">
        <v>2.0628288000000001</v>
      </c>
      <c r="E290" s="1">
        <v>0</v>
      </c>
      <c r="F290" s="2">
        <v>3.0201655999999999E-4</v>
      </c>
    </row>
    <row r="291" spans="1:6" x14ac:dyDescent="0.25">
      <c r="A291" t="s">
        <v>6</v>
      </c>
      <c r="B291" s="5" t="str">
        <f>HYPERLINK("http://www.broadinstitute.org/gsea/msigdb/cards/GOBP_REGULATION_OF_NEUTROPHIL_ACTIVATION.html","GOBP_REGULATION_OF_NEUTROPHIL_ACTIVATION")</f>
        <v>GOBP_REGULATION_OF_NEUTROPHIL_ACTIVATION</v>
      </c>
      <c r="C291" s="4">
        <v>15</v>
      </c>
      <c r="D291" s="3">
        <v>2.0622077000000001</v>
      </c>
      <c r="E291" s="1">
        <v>1.7182130999999999E-3</v>
      </c>
      <c r="F291" s="2">
        <v>3.0466762999999998E-4</v>
      </c>
    </row>
    <row r="292" spans="1:6" x14ac:dyDescent="0.25">
      <c r="A292" t="s">
        <v>6</v>
      </c>
      <c r="B292" s="5" t="str">
        <f>HYPERLINK("http://www.broadinstitute.org/gsea/msigdb/cards/GOBP_POSITIVE_REGULATION_OF_MACROPHAGE_CYTOKINE_PRODUCTION.html","GOBP_POSITIVE_REGULATION_OF_MACROPHAGE_CYTOKINE_PRODUCTION")</f>
        <v>GOBP_POSITIVE_REGULATION_OF_MACROPHAGE_CYTOKINE_PRODUCTION</v>
      </c>
      <c r="C292" s="4">
        <v>29</v>
      </c>
      <c r="D292" s="3">
        <v>2.0621323999999999</v>
      </c>
      <c r="E292" s="1">
        <v>0</v>
      </c>
      <c r="F292" s="2">
        <v>3.0361343000000001E-4</v>
      </c>
    </row>
    <row r="293" spans="1:6" x14ac:dyDescent="0.25">
      <c r="A293" t="s">
        <v>7</v>
      </c>
      <c r="B293" s="5" t="str">
        <f>HYPERLINK("http://www.broadinstitute.org/gsea/msigdb/cards/GOCC_COLLAGEN_TRIMER.html","GOCC_COLLAGEN_TRIMER")</f>
        <v>GOCC_COLLAGEN_TRIMER</v>
      </c>
      <c r="C293" s="4">
        <v>80</v>
      </c>
      <c r="D293" s="3">
        <v>2.0610018000000001</v>
      </c>
      <c r="E293" s="1">
        <v>0</v>
      </c>
      <c r="F293" s="2">
        <v>3.1000683999999999E-4</v>
      </c>
    </row>
    <row r="294" spans="1:6" x14ac:dyDescent="0.25">
      <c r="A294" t="s">
        <v>6</v>
      </c>
      <c r="B294" s="5" t="str">
        <f>HYPERLINK("http://www.broadinstitute.org/gsea/msigdb/cards/GOBP_POSITIVE_REGULATION_OF_ALPHA_BETA_T_CELL_DIFFERENTIATION.html","GOBP_POSITIVE_REGULATION_OF_ALPHA_BETA_T_CELL_DIFFERENTIATION")</f>
        <v>GOBP_POSITIVE_REGULATION_OF_ALPHA_BETA_T_CELL_DIFFERENTIATION</v>
      </c>
      <c r="C294" s="4">
        <v>50</v>
      </c>
      <c r="D294" s="3">
        <v>2.0585124000000001</v>
      </c>
      <c r="E294" s="1">
        <v>0</v>
      </c>
      <c r="F294" s="2">
        <v>3.4603005000000001E-4</v>
      </c>
    </row>
    <row r="295" spans="1:6" x14ac:dyDescent="0.25">
      <c r="A295" t="s">
        <v>6</v>
      </c>
      <c r="B295" s="5" t="str">
        <f>HYPERLINK("http://www.broadinstitute.org/gsea/msigdb/cards/GOBP_POSITIVE_REGULATION_OF_T_HELPER_1_TYPE_IMMUNE_RESPONSE.html","GOBP_POSITIVE_REGULATION_OF_T_HELPER_1_TYPE_IMMUNE_RESPONSE")</f>
        <v>GOBP_POSITIVE_REGULATION_OF_T_HELPER_1_TYPE_IMMUNE_RESPONSE</v>
      </c>
      <c r="C295" s="4">
        <v>19</v>
      </c>
      <c r="D295" s="3">
        <v>2.0577573999999998</v>
      </c>
      <c r="E295" s="1">
        <v>0</v>
      </c>
      <c r="F295" s="2">
        <v>3.5221664999999998E-4</v>
      </c>
    </row>
    <row r="296" spans="1:6" x14ac:dyDescent="0.25">
      <c r="A296" t="s">
        <v>6</v>
      </c>
      <c r="B296" s="5" t="str">
        <f>HYPERLINK("http://www.broadinstitute.org/gsea/msigdb/cards/GOBP_TISSUE_MIGRATION.html","GOBP_TISSUE_MIGRATION")</f>
        <v>GOBP_TISSUE_MIGRATION</v>
      </c>
      <c r="C296" s="4">
        <v>326</v>
      </c>
      <c r="D296" s="3">
        <v>2.0570517000000001</v>
      </c>
      <c r="E296" s="1">
        <v>0</v>
      </c>
      <c r="F296" s="2">
        <v>3.6209158E-4</v>
      </c>
    </row>
    <row r="297" spans="1:6" x14ac:dyDescent="0.25">
      <c r="A297" t="s">
        <v>6</v>
      </c>
      <c r="B297" s="5" t="str">
        <f>HYPERLINK("http://www.broadinstitute.org/gsea/msigdb/cards/GOBP_HEAT_GENERATION.html","GOBP_HEAT_GENERATION")</f>
        <v>GOBP_HEAT_GENERATION</v>
      </c>
      <c r="C297" s="4">
        <v>22</v>
      </c>
      <c r="D297" s="3">
        <v>2.0568103999999998</v>
      </c>
      <c r="E297" s="1">
        <v>0</v>
      </c>
      <c r="F297" s="2">
        <v>3.6086000000000001E-4</v>
      </c>
    </row>
    <row r="298" spans="1:6" x14ac:dyDescent="0.25">
      <c r="A298" t="s">
        <v>6</v>
      </c>
      <c r="B298" s="5" t="str">
        <f>HYPERLINK("http://www.broadinstitute.org/gsea/msigdb/cards/GOBP_T_CELL_CYTOKINE_PRODUCTION.html","GOBP_T_CELL_CYTOKINE_PRODUCTION")</f>
        <v>GOBP_T_CELL_CYTOKINE_PRODUCTION</v>
      </c>
      <c r="C298" s="4">
        <v>48</v>
      </c>
      <c r="D298" s="3">
        <v>2.0559159999999999</v>
      </c>
      <c r="E298" s="1">
        <v>0</v>
      </c>
      <c r="F298" s="2">
        <v>3.5963672999999999E-4</v>
      </c>
    </row>
    <row r="299" spans="1:6" x14ac:dyDescent="0.25">
      <c r="A299" t="s">
        <v>10</v>
      </c>
      <c r="B299" s="5" t="str">
        <f>HYPERLINK("http://www.broadinstitute.org/gsea/msigdb/cards/REACTOME_SIGNALING_BY_PDGF.html","REACTOME_SIGNALING_BY_PDGF")</f>
        <v>REACTOME_SIGNALING_BY_PDGF</v>
      </c>
      <c r="C299" s="4">
        <v>53</v>
      </c>
      <c r="D299" s="3">
        <v>2.0523400000000001</v>
      </c>
      <c r="E299" s="1">
        <v>0</v>
      </c>
      <c r="F299" s="2">
        <v>3.6933026000000001E-4</v>
      </c>
    </row>
    <row r="300" spans="1:6" x14ac:dyDescent="0.25">
      <c r="A300" t="s">
        <v>7</v>
      </c>
      <c r="B300" s="5" t="str">
        <f>HYPERLINK("http://www.broadinstitute.org/gsea/msigdb/cards/GOCC_PROTEIN_COMPLEX_INVOLVED_IN_CELL_ADHESION.html","GOCC_PROTEIN_COMPLEX_INVOLVED_IN_CELL_ADHESION")</f>
        <v>GOCC_PROTEIN_COMPLEX_INVOLVED_IN_CELL_ADHESION</v>
      </c>
      <c r="C300" s="4">
        <v>56</v>
      </c>
      <c r="D300" s="3">
        <v>2.0519626</v>
      </c>
      <c r="E300" s="1">
        <v>0</v>
      </c>
      <c r="F300" s="2">
        <v>3.6808674000000002E-4</v>
      </c>
    </row>
    <row r="301" spans="1:6" x14ac:dyDescent="0.25">
      <c r="A301" t="s">
        <v>8</v>
      </c>
      <c r="B301" s="5" t="str">
        <f>HYPERLINK("http://www.broadinstitute.org/gsea/msigdb/cards/GOMF_EPIDERMAL_GROWTH_FACTOR_RECEPTOR_BINDING.html","GOMF_EPIDERMAL_GROWTH_FACTOR_RECEPTOR_BINDING")</f>
        <v>GOMF_EPIDERMAL_GROWTH_FACTOR_RECEPTOR_BINDING</v>
      </c>
      <c r="C301" s="4">
        <v>38</v>
      </c>
      <c r="D301" s="3">
        <v>2.0506015</v>
      </c>
      <c r="E301" s="1">
        <v>0</v>
      </c>
      <c r="F301" s="2">
        <v>3.7774990000000001E-4</v>
      </c>
    </row>
    <row r="302" spans="1:6" x14ac:dyDescent="0.25">
      <c r="A302" t="s">
        <v>6</v>
      </c>
      <c r="B302" s="5" t="str">
        <f>HYPERLINK("http://www.broadinstitute.org/gsea/msigdb/cards/GOBP_REGULATION_OF_HUMORAL_IMMUNE_RESPONSE.html","GOBP_REGULATION_OF_HUMORAL_IMMUNE_RESPONSE")</f>
        <v>GOBP_REGULATION_OF_HUMORAL_IMMUNE_RESPONSE</v>
      </c>
      <c r="C302" s="4">
        <v>48</v>
      </c>
      <c r="D302" s="3">
        <v>2.0492287</v>
      </c>
      <c r="E302" s="1">
        <v>0</v>
      </c>
      <c r="F302" s="2">
        <v>3.8379165999999999E-4</v>
      </c>
    </row>
    <row r="303" spans="1:6" x14ac:dyDescent="0.25">
      <c r="A303" t="s">
        <v>6</v>
      </c>
      <c r="B303" s="5" t="str">
        <f>HYPERLINK("http://www.broadinstitute.org/gsea/msigdb/cards/GOBP_COLLAGEN_METABOLIC_PROCESS.html","GOBP_COLLAGEN_METABOLIC_PROCESS")</f>
        <v>GOBP_COLLAGEN_METABOLIC_PROCESS</v>
      </c>
      <c r="C303" s="4">
        <v>121</v>
      </c>
      <c r="D303" s="3">
        <v>2.0461683000000002</v>
      </c>
      <c r="E303" s="1">
        <v>0</v>
      </c>
      <c r="F303" s="2">
        <v>4.1849792E-4</v>
      </c>
    </row>
    <row r="304" spans="1:6" x14ac:dyDescent="0.25">
      <c r="A304" t="s">
        <v>6</v>
      </c>
      <c r="B304" s="5" t="str">
        <f>HYPERLINK("http://www.broadinstitute.org/gsea/msigdb/cards/GOBP_INTERLEUKIN_17_PRODUCTION.html","GOBP_INTERLEUKIN_17_PRODUCTION")</f>
        <v>GOBP_INTERLEUKIN_17_PRODUCTION</v>
      </c>
      <c r="C304" s="4">
        <v>46</v>
      </c>
      <c r="D304" s="3">
        <v>2.0441842000000001</v>
      </c>
      <c r="E304" s="1">
        <v>0</v>
      </c>
      <c r="F304" s="2">
        <v>4.3512181999999999E-4</v>
      </c>
    </row>
    <row r="305" spans="1:6" x14ac:dyDescent="0.25">
      <c r="A305" t="s">
        <v>6</v>
      </c>
      <c r="B305" s="5" t="str">
        <f>HYPERLINK("http://www.broadinstitute.org/gsea/msigdb/cards/GOBP_ANTIMICROBIAL_HUMORAL_IMMUNE_RESPONSE_MEDIATED_BY_ANTIMICROBIAL_PEPTIDE.html","GOBP_ANTIMICROBIAL_HUMORAL_IMMUNE_RESPONSE_MEDIATED_BY_ANTIMICROBIAL_PEPTIDE")</f>
        <v>GOBP_ANTIMICROBIAL_HUMORAL_IMMUNE_RESPONSE_MEDIATED_BY_ANTIMICROBIAL_PEPTIDE</v>
      </c>
      <c r="C305" s="4">
        <v>76</v>
      </c>
      <c r="D305" s="3">
        <v>2.0425436000000001</v>
      </c>
      <c r="E305" s="1">
        <v>0</v>
      </c>
      <c r="F305" s="2">
        <v>4.4077649999999999E-4</v>
      </c>
    </row>
    <row r="306" spans="1:6" x14ac:dyDescent="0.25">
      <c r="A306" t="s">
        <v>10</v>
      </c>
      <c r="B306" s="5" t="str">
        <f>HYPERLINK("http://www.broadinstitute.org/gsea/msigdb/cards/REACTOME_NCAM1_INTERACTIONS.html","REACTOME_NCAM1_INTERACTIONS")</f>
        <v>REACTOME_NCAM1_INTERACTIONS</v>
      </c>
      <c r="C306" s="4">
        <v>17</v>
      </c>
      <c r="D306" s="3">
        <v>2.0420919999999998</v>
      </c>
      <c r="E306" s="1">
        <v>0</v>
      </c>
      <c r="F306" s="2">
        <v>4.3932180000000001E-4</v>
      </c>
    </row>
    <row r="307" spans="1:6" x14ac:dyDescent="0.25">
      <c r="A307" t="s">
        <v>6</v>
      </c>
      <c r="B307" s="5" t="str">
        <f>HYPERLINK("http://www.broadinstitute.org/gsea/msigdb/cards/GOBP_POSITIVE_REGULATION_OF_CELLULAR_EXTRAVASATION.html","GOBP_POSITIVE_REGULATION_OF_CELLULAR_EXTRAVASATION")</f>
        <v>GOBP_POSITIVE_REGULATION_OF_CELLULAR_EXTRAVASATION</v>
      </c>
      <c r="C307" s="4">
        <v>22</v>
      </c>
      <c r="D307" s="3">
        <v>2.0403875999999999</v>
      </c>
      <c r="E307" s="1">
        <v>0</v>
      </c>
      <c r="F307" s="2">
        <v>4.5205317999999999E-4</v>
      </c>
    </row>
    <row r="308" spans="1:6" x14ac:dyDescent="0.25">
      <c r="A308" t="s">
        <v>6</v>
      </c>
      <c r="B308" s="5" t="str">
        <f>HYPERLINK("http://www.broadinstitute.org/gsea/msigdb/cards/GOBP_REGULATION_OF_T_CELL_MEDIATED_CYTOTOXICITY.html","GOBP_REGULATION_OF_T_CELL_MEDIATED_CYTOTOXICITY")</f>
        <v>GOBP_REGULATION_OF_T_CELL_MEDIATED_CYTOTOXICITY</v>
      </c>
      <c r="C308" s="4">
        <v>49</v>
      </c>
      <c r="D308" s="3">
        <v>2.039774</v>
      </c>
      <c r="E308" s="1">
        <v>0</v>
      </c>
      <c r="F308" s="2">
        <v>4.6116853000000002E-4</v>
      </c>
    </row>
    <row r="309" spans="1:6" x14ac:dyDescent="0.25">
      <c r="A309" t="s">
        <v>6</v>
      </c>
      <c r="B309" s="5" t="str">
        <f>HYPERLINK("http://www.broadinstitute.org/gsea/msigdb/cards/GOBP_NEGATIVE_REGULATION_OF_LEUKOCYTE_PROLIFERATION.html","GOBP_NEGATIVE_REGULATION_OF_LEUKOCYTE_PROLIFERATION")</f>
        <v>GOBP_NEGATIVE_REGULATION_OF_LEUKOCYTE_PROLIFERATION</v>
      </c>
      <c r="C309" s="4">
        <v>102</v>
      </c>
      <c r="D309" s="3">
        <v>2.0397599999999998</v>
      </c>
      <c r="E309" s="1">
        <v>0</v>
      </c>
      <c r="F309" s="2">
        <v>4.5966144999999998E-4</v>
      </c>
    </row>
    <row r="310" spans="1:6" x14ac:dyDescent="0.25">
      <c r="A310" t="s">
        <v>6</v>
      </c>
      <c r="B310" s="5" t="str">
        <f>HYPERLINK("http://www.broadinstitute.org/gsea/msigdb/cards/GOBP_REGULATION_OF_RESPONSE_TO_CYTOKINE_STIMULUS.html","GOBP_REGULATION_OF_RESPONSE_TO_CYTOKINE_STIMULUS")</f>
        <v>GOBP_REGULATION_OF_RESPONSE_TO_CYTOKINE_STIMULUS</v>
      </c>
      <c r="C310" s="4">
        <v>153</v>
      </c>
      <c r="D310" s="3">
        <v>2.0389905000000002</v>
      </c>
      <c r="E310" s="1">
        <v>0</v>
      </c>
      <c r="F310" s="2">
        <v>4.7590073999999999E-4</v>
      </c>
    </row>
    <row r="311" spans="1:6" x14ac:dyDescent="0.25">
      <c r="A311" t="s">
        <v>7</v>
      </c>
      <c r="B311" s="5" t="str">
        <f>HYPERLINK("http://www.broadinstitute.org/gsea/msigdb/cards/GOCC_EARLY_ENDOSOME.html","GOCC_EARLY_ENDOSOME")</f>
        <v>GOCC_EARLY_ENDOSOME</v>
      </c>
      <c r="C311" s="4">
        <v>348</v>
      </c>
      <c r="D311" s="3">
        <v>2.0380335000000001</v>
      </c>
      <c r="E311" s="1">
        <v>0</v>
      </c>
      <c r="F311" s="2">
        <v>4.919128E-4</v>
      </c>
    </row>
    <row r="312" spans="1:6" x14ac:dyDescent="0.25">
      <c r="A312" t="s">
        <v>6</v>
      </c>
      <c r="B312" s="5" t="str">
        <f>HYPERLINK("http://www.broadinstitute.org/gsea/msigdb/cards/GOBP_REGULATION_OF_B_CELL_ACTIVATION.html","GOBP_REGULATION_OF_B_CELL_ACTIVATION")</f>
        <v>GOBP_REGULATION_OF_B_CELL_ACTIVATION</v>
      </c>
      <c r="C312" s="4">
        <v>139</v>
      </c>
      <c r="D312" s="3">
        <v>2.0379437999999999</v>
      </c>
      <c r="E312" s="1">
        <v>0</v>
      </c>
      <c r="F312" s="2">
        <v>4.9032095999999999E-4</v>
      </c>
    </row>
    <row r="313" spans="1:6" x14ac:dyDescent="0.25">
      <c r="A313" t="s">
        <v>6</v>
      </c>
      <c r="B313" s="5" t="str">
        <f>HYPERLINK("http://www.broadinstitute.org/gsea/msigdb/cards/GOBP_FC_RECEPTOR_MEDIATED_STIMULATORY_SIGNALING_PATHWAY.html","GOBP_FC_RECEPTOR_MEDIATED_STIMULATORY_SIGNALING_PATHWAY")</f>
        <v>GOBP_FC_RECEPTOR_MEDIATED_STIMULATORY_SIGNALING_PATHWAY</v>
      </c>
      <c r="C313" s="4">
        <v>17</v>
      </c>
      <c r="D313" s="3">
        <v>2.0368010000000001</v>
      </c>
      <c r="E313" s="1">
        <v>0</v>
      </c>
      <c r="F313" s="2">
        <v>4.9223880000000004E-4</v>
      </c>
    </row>
    <row r="314" spans="1:6" x14ac:dyDescent="0.25">
      <c r="A314" t="s">
        <v>6</v>
      </c>
      <c r="B314" s="5" t="str">
        <f>HYPERLINK("http://www.broadinstitute.org/gsea/msigdb/cards/GOBP_POSITIVE_REGULATION_OF_MACROPHAGE_MIGRATION.html","GOBP_POSITIVE_REGULATION_OF_MACROPHAGE_MIGRATION")</f>
        <v>GOBP_POSITIVE_REGULATION_OF_MACROPHAGE_MIGRATION</v>
      </c>
      <c r="C314" s="4">
        <v>30</v>
      </c>
      <c r="D314" s="3">
        <v>2.0358987000000002</v>
      </c>
      <c r="E314" s="1">
        <v>0</v>
      </c>
      <c r="F314" s="2">
        <v>4.9406674000000001E-4</v>
      </c>
    </row>
    <row r="315" spans="1:6" x14ac:dyDescent="0.25">
      <c r="A315" t="s">
        <v>6</v>
      </c>
      <c r="B315" s="5" t="str">
        <f>HYPERLINK("http://www.broadinstitute.org/gsea/msigdb/cards/GOBP_POSITIVE_REGULATION_OF_CELL_SUBSTRATE_ADHESION.html","GOBP_POSITIVE_REGULATION_OF_CELL_SUBSTRATE_ADHESION")</f>
        <v>GOBP_POSITIVE_REGULATION_OF_CELL_SUBSTRATE_ADHESION</v>
      </c>
      <c r="C315" s="4">
        <v>136</v>
      </c>
      <c r="D315" s="3">
        <v>2.0352942999999999</v>
      </c>
      <c r="E315" s="1">
        <v>0</v>
      </c>
      <c r="F315" s="2">
        <v>4.9594853999999997E-4</v>
      </c>
    </row>
    <row r="316" spans="1:6" x14ac:dyDescent="0.25">
      <c r="A316" t="s">
        <v>10</v>
      </c>
      <c r="B316" s="5" t="str">
        <f>HYPERLINK("http://www.broadinstitute.org/gsea/msigdb/cards/REACTOME_PLATELET_ACTIVATION_SIGNALING_AND_AGGREGATION.html","REACTOME_PLATELET_ACTIVATION_SIGNALING_AND_AGGREGATION")</f>
        <v>REACTOME_PLATELET_ACTIVATION_SIGNALING_AND_AGGREGATION</v>
      </c>
      <c r="C316" s="4">
        <v>251</v>
      </c>
      <c r="D316" s="3">
        <v>2.0347347</v>
      </c>
      <c r="E316" s="1">
        <v>0</v>
      </c>
      <c r="F316" s="2">
        <v>4.9781746999999997E-4</v>
      </c>
    </row>
    <row r="317" spans="1:6" x14ac:dyDescent="0.25">
      <c r="A317" t="s">
        <v>6</v>
      </c>
      <c r="B317" s="5" t="str">
        <f>HYPERLINK("http://www.broadinstitute.org/gsea/msigdb/cards/GOBP_INFLAMMATORY_RESPONSE_TO_WOUNDING.html","GOBP_INFLAMMATORY_RESPONSE_TO_WOUNDING")</f>
        <v>GOBP_INFLAMMATORY_RESPONSE_TO_WOUNDING</v>
      </c>
      <c r="C317" s="4">
        <v>31</v>
      </c>
      <c r="D317" s="3">
        <v>2.0345710000000001</v>
      </c>
      <c r="E317" s="1">
        <v>0</v>
      </c>
      <c r="F317" s="2">
        <v>4.9623207000000003E-4</v>
      </c>
    </row>
    <row r="318" spans="1:6" x14ac:dyDescent="0.25">
      <c r="A318" t="s">
        <v>6</v>
      </c>
      <c r="B318" s="5" t="str">
        <f>HYPERLINK("http://www.broadinstitute.org/gsea/msigdb/cards/GOBP_BLOOD_VESSEL_ENDOTHELIAL_CELL_MIGRATION.html","GOBP_BLOOD_VESSEL_ENDOTHELIAL_CELL_MIGRATION")</f>
        <v>GOBP_BLOOD_VESSEL_ENDOTHELIAL_CELL_MIGRATION</v>
      </c>
      <c r="C318" s="4">
        <v>122</v>
      </c>
      <c r="D318" s="3">
        <v>2.0340322999999998</v>
      </c>
      <c r="E318" s="1">
        <v>0</v>
      </c>
      <c r="F318" s="2">
        <v>4.9813180000000002E-4</v>
      </c>
    </row>
    <row r="319" spans="1:6" x14ac:dyDescent="0.25">
      <c r="A319" t="s">
        <v>6</v>
      </c>
      <c r="B319" s="5" t="str">
        <f>HYPERLINK("http://www.broadinstitute.org/gsea/msigdb/cards/GOBP_INFLAMMASOME_MEDIATED_SIGNALING_PATHWAY.html","GOBP_INFLAMMASOME_MEDIATED_SIGNALING_PATHWAY")</f>
        <v>GOBP_INFLAMMASOME_MEDIATED_SIGNALING_PATHWAY</v>
      </c>
      <c r="C319" s="4">
        <v>43</v>
      </c>
      <c r="D319" s="3">
        <v>2.0336075</v>
      </c>
      <c r="E319" s="1">
        <v>0</v>
      </c>
      <c r="F319" s="2">
        <v>5.0003560000000001E-4</v>
      </c>
    </row>
    <row r="320" spans="1:6" x14ac:dyDescent="0.25">
      <c r="A320" t="s">
        <v>9</v>
      </c>
      <c r="B320" s="5" t="str">
        <f>HYPERLINK("http://www.broadinstitute.org/gsea/msigdb/cards/HALLMARK_PROTEIN_SECRETION.html","HALLMARK_PROTEIN_SECRETION")</f>
        <v>HALLMARK_PROTEIN_SECRETION</v>
      </c>
      <c r="C320" s="4">
        <v>93</v>
      </c>
      <c r="D320" s="3">
        <v>2.0334550999999998</v>
      </c>
      <c r="E320" s="1">
        <v>0</v>
      </c>
      <c r="F320" s="2">
        <v>4.9845816000000003E-4</v>
      </c>
    </row>
    <row r="321" spans="1:6" x14ac:dyDescent="0.25">
      <c r="A321" t="s">
        <v>6</v>
      </c>
      <c r="B321" s="5" t="str">
        <f>HYPERLINK("http://www.broadinstitute.org/gsea/msigdb/cards/GOBP_MATURE_B_CELL_DIFFERENTIATION.html","GOBP_MATURE_B_CELL_DIFFERENTIATION")</f>
        <v>GOBP_MATURE_B_CELL_DIFFERENTIATION</v>
      </c>
      <c r="C321" s="4">
        <v>43</v>
      </c>
      <c r="D321" s="3">
        <v>2.0334162999999998</v>
      </c>
      <c r="E321" s="1">
        <v>0</v>
      </c>
      <c r="F321" s="2">
        <v>4.9689069999999996E-4</v>
      </c>
    </row>
    <row r="322" spans="1:6" x14ac:dyDescent="0.25">
      <c r="A322" t="s">
        <v>6</v>
      </c>
      <c r="B322" s="5" t="str">
        <f>HYPERLINK("http://www.broadinstitute.org/gsea/msigdb/cards/GOBP_REGULATION_OF_HEAT_GENERATION.html","GOBP_REGULATION_OF_HEAT_GENERATION")</f>
        <v>GOBP_REGULATION_OF_HEAT_GENERATION</v>
      </c>
      <c r="C322" s="4">
        <v>16</v>
      </c>
      <c r="D322" s="3">
        <v>2.0332954000000001</v>
      </c>
      <c r="E322" s="1">
        <v>0</v>
      </c>
      <c r="F322" s="2">
        <v>5.0214360000000002E-4</v>
      </c>
    </row>
    <row r="323" spans="1:6" x14ac:dyDescent="0.25">
      <c r="A323" t="s">
        <v>7</v>
      </c>
      <c r="B323" s="5" t="str">
        <f>HYPERLINK("http://www.broadinstitute.org/gsea/msigdb/cards/GOCC_MEMBRANE_MICRODOMAIN.html","GOCC_MEMBRANE_MICRODOMAIN")</f>
        <v>GOCC_MEMBRANE_MICRODOMAIN</v>
      </c>
      <c r="C323" s="4">
        <v>296</v>
      </c>
      <c r="D323" s="3">
        <v>2.0312610000000002</v>
      </c>
      <c r="E323" s="1">
        <v>0</v>
      </c>
      <c r="F323" s="2">
        <v>5.3424560000000002E-4</v>
      </c>
    </row>
    <row r="324" spans="1:6" x14ac:dyDescent="0.25">
      <c r="A324" t="s">
        <v>6</v>
      </c>
      <c r="B324" s="5" t="str">
        <f>HYPERLINK("http://www.broadinstitute.org/gsea/msigdb/cards/GOBP_EXTRACELLULAR_STRUCTURE_ORGANIZATION.html","GOBP_EXTRACELLULAR_STRUCTURE_ORGANIZATION")</f>
        <v>GOBP_EXTRACELLULAR_STRUCTURE_ORGANIZATION</v>
      </c>
      <c r="C324" s="4">
        <v>317</v>
      </c>
      <c r="D324" s="3">
        <v>2.0308475000000001</v>
      </c>
      <c r="E324" s="1">
        <v>0</v>
      </c>
      <c r="F324" s="2">
        <v>5.3935599999999995E-4</v>
      </c>
    </row>
    <row r="325" spans="1:6" x14ac:dyDescent="0.25">
      <c r="A325" t="s">
        <v>10</v>
      </c>
      <c r="B325" s="5" t="str">
        <f>HYPERLINK("http://www.broadinstitute.org/gsea/msigdb/cards/REACTOME_CROSSLINKING_OF_COLLAGEN_FIBRILS.html","REACTOME_CROSSLINKING_OF_COLLAGEN_FIBRILS")</f>
        <v>REACTOME_CROSSLINKING_OF_COLLAGEN_FIBRILS</v>
      </c>
      <c r="C325" s="4">
        <v>16</v>
      </c>
      <c r="D325" s="3">
        <v>2.0304220000000002</v>
      </c>
      <c r="E325" s="1">
        <v>0</v>
      </c>
      <c r="F325" s="2">
        <v>5.4443015999999995E-4</v>
      </c>
    </row>
    <row r="326" spans="1:6" x14ac:dyDescent="0.25">
      <c r="A326" t="s">
        <v>6</v>
      </c>
      <c r="B326" s="5" t="str">
        <f>HYPERLINK("http://www.broadinstitute.org/gsea/msigdb/cards/GOBP_TYPE_II_INTERFERON_MEDIATED_SIGNALING_PATHWAY.html","GOBP_TYPE_II_INTERFERON_MEDIATED_SIGNALING_PATHWAY")</f>
        <v>GOBP_TYPE_II_INTERFERON_MEDIATED_SIGNALING_PATHWAY</v>
      </c>
      <c r="C326" s="4">
        <v>23</v>
      </c>
      <c r="D326" s="3">
        <v>2.0303173000000001</v>
      </c>
      <c r="E326" s="1">
        <v>0</v>
      </c>
      <c r="F326" s="2">
        <v>5.4274460000000005E-4</v>
      </c>
    </row>
    <row r="327" spans="1:6" x14ac:dyDescent="0.25">
      <c r="A327" t="s">
        <v>6</v>
      </c>
      <c r="B327" s="5" t="str">
        <f>HYPERLINK("http://www.broadinstitute.org/gsea/msigdb/cards/GOBP_RESPONSE_TO_GROWTH_HORMONE.html","GOBP_RESPONSE_TO_GROWTH_HORMONE")</f>
        <v>GOBP_RESPONSE_TO_GROWTH_HORMONE</v>
      </c>
      <c r="C327" s="4">
        <v>21</v>
      </c>
      <c r="D327" s="3">
        <v>2.0288094999999999</v>
      </c>
      <c r="E327" s="1">
        <v>0</v>
      </c>
      <c r="F327" s="2">
        <v>5.577596E-4</v>
      </c>
    </row>
    <row r="328" spans="1:6" x14ac:dyDescent="0.25">
      <c r="A328" t="s">
        <v>6</v>
      </c>
      <c r="B328" s="5" t="str">
        <f>HYPERLINK("http://www.broadinstitute.org/gsea/msigdb/cards/GOBP_REGULATION_OF_OSTEOCLAST_DIFFERENTIATION.html","GOBP_REGULATION_OF_OSTEOCLAST_DIFFERENTIATION")</f>
        <v>GOBP_REGULATION_OF_OSTEOCLAST_DIFFERENTIATION</v>
      </c>
      <c r="C328" s="4">
        <v>86</v>
      </c>
      <c r="D328" s="3">
        <v>2.0272290000000002</v>
      </c>
      <c r="E328" s="1">
        <v>0</v>
      </c>
      <c r="F328" s="2">
        <v>5.6277900000000001E-4</v>
      </c>
    </row>
    <row r="329" spans="1:6" x14ac:dyDescent="0.25">
      <c r="A329" t="s">
        <v>6</v>
      </c>
      <c r="B329" s="5" t="str">
        <f>HYPERLINK("http://www.broadinstitute.org/gsea/msigdb/cards/GOBP_NEGATIVE_REGULATION_OF_INTERLEUKIN_12_PRODUCTION.html","GOBP_NEGATIVE_REGULATION_OF_INTERLEUKIN_12_PRODUCTION")</f>
        <v>GOBP_NEGATIVE_REGULATION_OF_INTERLEUKIN_12_PRODUCTION</v>
      </c>
      <c r="C329" s="4">
        <v>19</v>
      </c>
      <c r="D329" s="3">
        <v>2.0270963000000002</v>
      </c>
      <c r="E329" s="1">
        <v>0</v>
      </c>
      <c r="F329" s="2">
        <v>5.6438764999999997E-4</v>
      </c>
    </row>
    <row r="330" spans="1:6" x14ac:dyDescent="0.25">
      <c r="A330" t="s">
        <v>6</v>
      </c>
      <c r="B330" s="5" t="str">
        <f>HYPERLINK("http://www.broadinstitute.org/gsea/msigdb/cards/GOBP_MYELOID_LEUKOCYTE_MEDIATED_IMMUNITY.html","GOBP_MYELOID_LEUKOCYTE_MEDIATED_IMMUNITY")</f>
        <v>GOBP_MYELOID_LEUKOCYTE_MEDIATED_IMMUNITY</v>
      </c>
      <c r="C330" s="4">
        <v>131</v>
      </c>
      <c r="D330" s="3">
        <v>2.0267460000000002</v>
      </c>
      <c r="E330" s="1">
        <v>0</v>
      </c>
      <c r="F330" s="2">
        <v>5.7265115999999999E-4</v>
      </c>
    </row>
    <row r="331" spans="1:6" x14ac:dyDescent="0.25">
      <c r="A331" t="s">
        <v>10</v>
      </c>
      <c r="B331" s="5" t="str">
        <f>HYPERLINK("http://www.broadinstitute.org/gsea/msigdb/cards/REACTOME_SIGNALING_BY_VEGF.html","REACTOME_SIGNALING_BY_VEGF")</f>
        <v>REACTOME_SIGNALING_BY_VEGF</v>
      </c>
      <c r="C331" s="4">
        <v>100</v>
      </c>
      <c r="D331" s="3">
        <v>2.0262069999999999</v>
      </c>
      <c r="E331" s="1">
        <v>0</v>
      </c>
      <c r="F331" s="2">
        <v>5.8083899999999999E-4</v>
      </c>
    </row>
    <row r="332" spans="1:6" x14ac:dyDescent="0.25">
      <c r="A332" t="s">
        <v>6</v>
      </c>
      <c r="B332" s="5" t="str">
        <f>HYPERLINK("http://www.broadinstitute.org/gsea/msigdb/cards/GOBP_OSTEOCLAST_DIFFERENTIATION.html","GOBP_OSTEOCLAST_DIFFERENTIATION")</f>
        <v>GOBP_OSTEOCLAST_DIFFERENTIATION</v>
      </c>
      <c r="C332" s="4">
        <v>128</v>
      </c>
      <c r="D332" s="3">
        <v>2.0244092999999999</v>
      </c>
      <c r="E332" s="1">
        <v>0</v>
      </c>
      <c r="F332" s="2">
        <v>6.0875405E-4</v>
      </c>
    </row>
    <row r="333" spans="1:6" x14ac:dyDescent="0.25">
      <c r="A333" t="s">
        <v>10</v>
      </c>
      <c r="B333" s="5" t="str">
        <f>HYPERLINK("http://www.broadinstitute.org/gsea/msigdb/cards/REACTOME_COLLAGEN_BIOSYNTHESIS_AND_MODIFYING_ENZYMES.html","REACTOME_COLLAGEN_BIOSYNTHESIS_AND_MODIFYING_ENZYMES")</f>
        <v>REACTOME_COLLAGEN_BIOSYNTHESIS_AND_MODIFYING_ENZYMES</v>
      </c>
      <c r="C333" s="4">
        <v>65</v>
      </c>
      <c r="D333" s="3">
        <v>2.0243552</v>
      </c>
      <c r="E333" s="1">
        <v>0</v>
      </c>
      <c r="F333" s="2">
        <v>6.1016759999999999E-4</v>
      </c>
    </row>
    <row r="334" spans="1:6" x14ac:dyDescent="0.25">
      <c r="A334" t="s">
        <v>6</v>
      </c>
      <c r="B334" s="5" t="str">
        <f>HYPERLINK("http://www.broadinstitute.org/gsea/msigdb/cards/GOBP_POSITIVE_REGULATION_OF_MYELOID_LEUKOCYTE_DIFFERENTIATION.html","GOBP_POSITIVE_REGULATION_OF_MYELOID_LEUKOCYTE_DIFFERENTIATION")</f>
        <v>GOBP_POSITIVE_REGULATION_OF_MYELOID_LEUKOCYTE_DIFFERENTIATION</v>
      </c>
      <c r="C334" s="4">
        <v>72</v>
      </c>
      <c r="D334" s="3">
        <v>2.0232188999999998</v>
      </c>
      <c r="E334" s="1">
        <v>0</v>
      </c>
      <c r="F334" s="2">
        <v>6.1822649999999999E-4</v>
      </c>
    </row>
    <row r="335" spans="1:6" x14ac:dyDescent="0.25">
      <c r="A335" t="s">
        <v>6</v>
      </c>
      <c r="B335" s="5" t="str">
        <f>HYPERLINK("http://www.broadinstitute.org/gsea/msigdb/cards/GOBP_POSITIVE_REGULATION_OF_GRANULOCYTE_CHEMOTAXIS.html","GOBP_POSITIVE_REGULATION_OF_GRANULOCYTE_CHEMOTAXIS")</f>
        <v>GOBP_POSITIVE_REGULATION_OF_GRANULOCYTE_CHEMOTAXIS</v>
      </c>
      <c r="C335" s="4">
        <v>29</v>
      </c>
      <c r="D335" s="3">
        <v>2.0229827999999999</v>
      </c>
      <c r="E335" s="1">
        <v>0</v>
      </c>
      <c r="F335" s="2">
        <v>6.1636435999999997E-4</v>
      </c>
    </row>
    <row r="336" spans="1:6" x14ac:dyDescent="0.25">
      <c r="A336" t="s">
        <v>8</v>
      </c>
      <c r="B336" s="5" t="str">
        <f>HYPERLINK("http://www.broadinstitute.org/gsea/msigdb/cards/GOMF_PHOSPHOTYROSINE_RESIDUE_BINDING.html","GOMF_PHOSPHOTYROSINE_RESIDUE_BINDING")</f>
        <v>GOMF_PHOSPHOTYROSINE_RESIDUE_BINDING</v>
      </c>
      <c r="C336" s="4">
        <v>48</v>
      </c>
      <c r="D336" s="3">
        <v>2.0226727000000002</v>
      </c>
      <c r="E336" s="1">
        <v>0</v>
      </c>
      <c r="F336" s="2">
        <v>6.2098459999999998E-4</v>
      </c>
    </row>
    <row r="337" spans="1:6" x14ac:dyDescent="0.25">
      <c r="A337" t="s">
        <v>9</v>
      </c>
      <c r="B337" s="5" t="str">
        <f>HYPERLINK("http://www.broadinstitute.org/gsea/msigdb/cards/HALLMARK_HYPOXIA.html","HALLMARK_HYPOXIA")</f>
        <v>HALLMARK_HYPOXIA</v>
      </c>
      <c r="C337" s="4">
        <v>195</v>
      </c>
      <c r="D337" s="3">
        <v>2.0225949999999999</v>
      </c>
      <c r="E337" s="1">
        <v>0</v>
      </c>
      <c r="F337" s="2">
        <v>6.2236240000000003E-4</v>
      </c>
    </row>
    <row r="338" spans="1:6" x14ac:dyDescent="0.25">
      <c r="A338" t="s">
        <v>11</v>
      </c>
      <c r="B338" s="5" t="str">
        <f>HYPERLINK("http://www.broadinstitute.org/gsea/msigdb/cards/WP_IL_2_SIGNALING_PATHWAY.html","WP_IL_2_SIGNALING_PATHWAY")</f>
        <v>WP_IL_2_SIGNALING_PATHWAY</v>
      </c>
      <c r="C338" s="4">
        <v>75</v>
      </c>
      <c r="D338" s="3">
        <v>2.0225179999999998</v>
      </c>
      <c r="E338" s="1">
        <v>0</v>
      </c>
      <c r="F338" s="2">
        <v>6.2050460000000001E-4</v>
      </c>
    </row>
    <row r="339" spans="1:6" x14ac:dyDescent="0.25">
      <c r="A339" t="s">
        <v>6</v>
      </c>
      <c r="B339" s="5" t="str">
        <f>HYPERLINK("http://www.broadinstitute.org/gsea/msigdb/cards/GOBP_POSITIVE_REGULATION_OF_CELL_CELL_ADHESION.html","GOBP_POSITIVE_REGULATION_OF_CELL_CELL_ADHESION")</f>
        <v>GOBP_POSITIVE_REGULATION_OF_CELL_CELL_ADHESION</v>
      </c>
      <c r="C339" s="4">
        <v>331</v>
      </c>
      <c r="D339" s="3">
        <v>2.0209730000000001</v>
      </c>
      <c r="E339" s="1">
        <v>0</v>
      </c>
      <c r="F339" s="2">
        <v>6.4115560000000001E-4</v>
      </c>
    </row>
    <row r="340" spans="1:6" x14ac:dyDescent="0.25">
      <c r="A340" t="s">
        <v>6</v>
      </c>
      <c r="B340" s="5" t="str">
        <f>HYPERLINK("http://www.broadinstitute.org/gsea/msigdb/cards/GOBP_NATURAL_KILLER_CELL_ACTIVATION.html","GOBP_NATURAL_KILLER_CELL_ACTIVATION")</f>
        <v>GOBP_NATURAL_KILLER_CELL_ACTIVATION</v>
      </c>
      <c r="C340" s="4">
        <v>101</v>
      </c>
      <c r="D340" s="3">
        <v>2.0209646000000001</v>
      </c>
      <c r="E340" s="1">
        <v>0</v>
      </c>
      <c r="F340" s="2">
        <v>6.39253E-4</v>
      </c>
    </row>
    <row r="341" spans="1:6" x14ac:dyDescent="0.25">
      <c r="A341" t="s">
        <v>6</v>
      </c>
      <c r="B341" s="5" t="str">
        <f>HYPERLINK("http://www.broadinstitute.org/gsea/msigdb/cards/GOBP_MYELOID_CELL_ACTIVATION_INVOLVED_IN_IMMUNE_RESPONSE.html","GOBP_MYELOID_CELL_ACTIVATION_INVOLVED_IN_IMMUNE_RESPONSE")</f>
        <v>GOBP_MYELOID_CELL_ACTIVATION_INVOLVED_IN_IMMUNE_RESPONSE</v>
      </c>
      <c r="C341" s="4">
        <v>106</v>
      </c>
      <c r="D341" s="3">
        <v>2.0204431999999999</v>
      </c>
      <c r="E341" s="1">
        <v>0</v>
      </c>
      <c r="F341" s="2">
        <v>6.4695189999999997E-4</v>
      </c>
    </row>
    <row r="342" spans="1:6" x14ac:dyDescent="0.25">
      <c r="A342" t="s">
        <v>6</v>
      </c>
      <c r="B342" s="5" t="str">
        <f>HYPERLINK("http://www.broadinstitute.org/gsea/msigdb/cards/GOBP_SUPEROXIDE_METABOLIC_PROCESS.html","GOBP_SUPEROXIDE_METABOLIC_PROCESS")</f>
        <v>GOBP_SUPEROXIDE_METABOLIC_PROCESS</v>
      </c>
      <c r="C342" s="4">
        <v>70</v>
      </c>
      <c r="D342" s="3">
        <v>2.0200884000000001</v>
      </c>
      <c r="E342" s="1">
        <v>0</v>
      </c>
      <c r="F342" s="2">
        <v>6.4504350000000005E-4</v>
      </c>
    </row>
    <row r="343" spans="1:6" x14ac:dyDescent="0.25">
      <c r="A343" t="s">
        <v>8</v>
      </c>
      <c r="B343" s="5" t="str">
        <f>HYPERLINK("http://www.broadinstitute.org/gsea/msigdb/cards/GOMF_CYTOKINE_RECEPTOR_ACTIVITY.html","GOMF_CYTOKINE_RECEPTOR_ACTIVITY")</f>
        <v>GOMF_CYTOKINE_RECEPTOR_ACTIVITY</v>
      </c>
      <c r="C343" s="4">
        <v>96</v>
      </c>
      <c r="D343" s="3">
        <v>2.0198827000000001</v>
      </c>
      <c r="E343" s="1">
        <v>0</v>
      </c>
      <c r="F343" s="2">
        <v>6.4946310000000001E-4</v>
      </c>
    </row>
    <row r="344" spans="1:6" x14ac:dyDescent="0.25">
      <c r="A344" t="s">
        <v>6</v>
      </c>
      <c r="B344" s="5" t="str">
        <f>HYPERLINK("http://www.broadinstitute.org/gsea/msigdb/cards/GOBP_RESPONSE_TO_WOUNDING.html","GOBP_RESPONSE_TO_WOUNDING")</f>
        <v>GOBP_RESPONSE_TO_WOUNDING</v>
      </c>
      <c r="C344" s="4">
        <v>488</v>
      </c>
      <c r="D344" s="3">
        <v>2.0198767000000002</v>
      </c>
      <c r="E344" s="1">
        <v>0</v>
      </c>
      <c r="F344" s="2">
        <v>6.4755849999999996E-4</v>
      </c>
    </row>
    <row r="345" spans="1:6" x14ac:dyDescent="0.25">
      <c r="A345" t="s">
        <v>6</v>
      </c>
      <c r="B345" s="5" t="str">
        <f>HYPERLINK("http://www.broadinstitute.org/gsea/msigdb/cards/GOBP_POSITIVE_REGULATION_OF_HUMORAL_IMMUNE_RESPONSE.html","GOBP_POSITIVE_REGULATION_OF_HUMORAL_IMMUNE_RESPONSE")</f>
        <v>GOBP_POSITIVE_REGULATION_OF_HUMORAL_IMMUNE_RESPONSE</v>
      </c>
      <c r="C345" s="4">
        <v>23</v>
      </c>
      <c r="D345" s="3">
        <v>2.0187898</v>
      </c>
      <c r="E345" s="1">
        <v>0</v>
      </c>
      <c r="F345" s="2">
        <v>6.5196929999999996E-4</v>
      </c>
    </row>
    <row r="346" spans="1:6" x14ac:dyDescent="0.25">
      <c r="A346" t="s">
        <v>6</v>
      </c>
      <c r="B346" s="5" t="str">
        <f>HYPERLINK("http://www.broadinstitute.org/gsea/msigdb/cards/GOBP_POSITIVE_REGULATION_OF_MACROPHAGE_CHEMOTAXIS.html","GOBP_POSITIVE_REGULATION_OF_MACROPHAGE_CHEMOTAXIS")</f>
        <v>GOBP_POSITIVE_REGULATION_OF_MACROPHAGE_CHEMOTAXIS</v>
      </c>
      <c r="C346" s="4">
        <v>24</v>
      </c>
      <c r="D346" s="3">
        <v>2.0154274000000001</v>
      </c>
      <c r="E346" s="1">
        <v>0</v>
      </c>
      <c r="F346" s="2">
        <v>6.9761224000000003E-4</v>
      </c>
    </row>
    <row r="347" spans="1:6" x14ac:dyDescent="0.25">
      <c r="A347" t="s">
        <v>6</v>
      </c>
      <c r="B347" s="5" t="str">
        <f>HYPERLINK("http://www.broadinstitute.org/gsea/msigdb/cards/GOBP_REACTIVE_NITROGEN_SPECIES_METABOLIC_PROCESS.html","GOBP_REACTIVE_NITROGEN_SPECIES_METABOLIC_PROCESS")</f>
        <v>GOBP_REACTIVE_NITROGEN_SPECIES_METABOLIC_PROCESS</v>
      </c>
      <c r="C347" s="4">
        <v>92</v>
      </c>
      <c r="D347" s="3">
        <v>2.0148470000000001</v>
      </c>
      <c r="E347" s="1">
        <v>0</v>
      </c>
      <c r="F347" s="2">
        <v>7.0824264999999999E-4</v>
      </c>
    </row>
    <row r="348" spans="1:6" x14ac:dyDescent="0.25">
      <c r="A348" t="s">
        <v>6</v>
      </c>
      <c r="B348" s="5" t="str">
        <f>HYPERLINK("http://www.broadinstitute.org/gsea/msigdb/cards/GOBP_NEGATIVE_REGULATION_OF_VIRAL_PROCESS.html","GOBP_NEGATIVE_REGULATION_OF_VIRAL_PROCESS")</f>
        <v>GOBP_NEGATIVE_REGULATION_OF_VIRAL_PROCESS</v>
      </c>
      <c r="C348" s="4">
        <v>98</v>
      </c>
      <c r="D348" s="3">
        <v>2.0148052999999999</v>
      </c>
      <c r="E348" s="1">
        <v>0</v>
      </c>
      <c r="F348" s="2">
        <v>7.0618980000000003E-4</v>
      </c>
    </row>
    <row r="349" spans="1:6" x14ac:dyDescent="0.25">
      <c r="A349" t="s">
        <v>6</v>
      </c>
      <c r="B349" s="5" t="str">
        <f>HYPERLINK("http://www.broadinstitute.org/gsea/msigdb/cards/GOBP_AMEBOIDAL_TYPE_CELL_MIGRATION.html","GOBP_AMEBOIDAL_TYPE_CELL_MIGRATION")</f>
        <v>GOBP_AMEBOIDAL_TYPE_CELL_MIGRATION</v>
      </c>
      <c r="C349" s="4">
        <v>463</v>
      </c>
      <c r="D349" s="3">
        <v>2.0141988</v>
      </c>
      <c r="E349" s="1">
        <v>0</v>
      </c>
      <c r="F349" s="2">
        <v>7.0727965999999997E-4</v>
      </c>
    </row>
    <row r="350" spans="1:6" x14ac:dyDescent="0.25">
      <c r="A350" t="s">
        <v>6</v>
      </c>
      <c r="B350" s="5" t="str">
        <f>HYPERLINK("http://www.broadinstitute.org/gsea/msigdb/cards/GOBP_NEGATIVE_REGULATION_OF_LYMPHOCYTE_ACTIVATION.html","GOBP_NEGATIVE_REGULATION_OF_LYMPHOCYTE_ACTIVATION")</f>
        <v>GOBP_NEGATIVE_REGULATION_OF_LYMPHOCYTE_ACTIVATION</v>
      </c>
      <c r="C350" s="4">
        <v>171</v>
      </c>
      <c r="D350" s="3">
        <v>2.0138419999999999</v>
      </c>
      <c r="E350" s="1">
        <v>0</v>
      </c>
      <c r="F350" s="2">
        <v>7.1468984000000002E-4</v>
      </c>
    </row>
    <row r="351" spans="1:6" x14ac:dyDescent="0.25">
      <c r="A351" t="s">
        <v>7</v>
      </c>
      <c r="B351" s="5" t="str">
        <f>HYPERLINK("http://www.broadinstitute.org/gsea/msigdb/cards/GOCC_GOLGI_CISTERNA.html","GOCC_GOLGI_CISTERNA")</f>
        <v>GOCC_GOLGI_CISTERNA</v>
      </c>
      <c r="C351" s="4">
        <v>66</v>
      </c>
      <c r="D351" s="3">
        <v>2.0132333999999998</v>
      </c>
      <c r="E351" s="1">
        <v>0</v>
      </c>
      <c r="F351" s="2">
        <v>7.1889505000000001E-4</v>
      </c>
    </row>
    <row r="352" spans="1:6" x14ac:dyDescent="0.25">
      <c r="A352" t="s">
        <v>6</v>
      </c>
      <c r="B352" s="5" t="str">
        <f>HYPERLINK("http://www.broadinstitute.org/gsea/msigdb/cards/GOBP_NEUTROPHIL_EXTRAVASATION.html","GOBP_NEUTROPHIL_EXTRAVASATION")</f>
        <v>GOBP_NEUTROPHIL_EXTRAVASATION</v>
      </c>
      <c r="C352" s="4">
        <v>15</v>
      </c>
      <c r="D352" s="3">
        <v>2.0112139999999998</v>
      </c>
      <c r="E352" s="1">
        <v>0</v>
      </c>
      <c r="F352" s="2">
        <v>7.4467429999999996E-4</v>
      </c>
    </row>
    <row r="353" spans="1:6" x14ac:dyDescent="0.25">
      <c r="A353" t="s">
        <v>8</v>
      </c>
      <c r="B353" s="5" t="str">
        <f>HYPERLINK("http://www.broadinstitute.org/gsea/msigdb/cards/GOMF_SCAVENGER_RECEPTOR_ACTIVITY.html","GOMF_SCAVENGER_RECEPTOR_ACTIVITY")</f>
        <v>GOMF_SCAVENGER_RECEPTOR_ACTIVITY</v>
      </c>
      <c r="C353" s="4">
        <v>43</v>
      </c>
      <c r="D353" s="3">
        <v>2.0109385999999998</v>
      </c>
      <c r="E353" s="1">
        <v>0</v>
      </c>
      <c r="F353" s="2">
        <v>7.4564089999999998E-4</v>
      </c>
    </row>
    <row r="354" spans="1:6" x14ac:dyDescent="0.25">
      <c r="A354" t="s">
        <v>6</v>
      </c>
      <c r="B354" s="5" t="str">
        <f>HYPERLINK("http://www.broadinstitute.org/gsea/msigdb/cards/GOBP_REGULATION_OF_MACROPHAGE_CHEMOTAXIS.html","GOBP_REGULATION_OF_MACROPHAGE_CHEMOTAXIS")</f>
        <v>GOBP_REGULATION_OF_MACROPHAGE_CHEMOTAXIS</v>
      </c>
      <c r="C354" s="4">
        <v>32</v>
      </c>
      <c r="D354" s="3">
        <v>2.0108742999999998</v>
      </c>
      <c r="E354" s="1">
        <v>0</v>
      </c>
      <c r="F354" s="2">
        <v>7.4659765E-4</v>
      </c>
    </row>
    <row r="355" spans="1:6" x14ac:dyDescent="0.25">
      <c r="A355" t="s">
        <v>6</v>
      </c>
      <c r="B355" s="5" t="str">
        <f>HYPERLINK("http://www.broadinstitute.org/gsea/msigdb/cards/GOBP_LAMELLIPODIUM_MORPHOGENESIS.html","GOBP_LAMELLIPODIUM_MORPHOGENESIS")</f>
        <v>GOBP_LAMELLIPODIUM_MORPHOGENESIS</v>
      </c>
      <c r="C355" s="4">
        <v>16</v>
      </c>
      <c r="D355" s="3">
        <v>2.0103097000000001</v>
      </c>
      <c r="E355" s="1">
        <v>0</v>
      </c>
      <c r="F355" s="2">
        <v>7.4755640000000005E-4</v>
      </c>
    </row>
    <row r="356" spans="1:6" x14ac:dyDescent="0.25">
      <c r="A356" t="s">
        <v>6</v>
      </c>
      <c r="B356" s="5" t="str">
        <f>HYPERLINK("http://www.broadinstitute.org/gsea/msigdb/cards/GOBP_NEGATIVE_REGULATION_OF_CYTOKINE_PRODUCTION_INVOLVED_IN_IMMUNE_RESPONSE.html","GOBP_NEGATIVE_REGULATION_OF_CYTOKINE_PRODUCTION_INVOLVED_IN_IMMUNE_RESPONSE")</f>
        <v>GOBP_NEGATIVE_REGULATION_OF_CYTOKINE_PRODUCTION_INVOLVED_IN_IMMUNE_RESPONSE</v>
      </c>
      <c r="C356" s="4">
        <v>33</v>
      </c>
      <c r="D356" s="3">
        <v>2.0099594999999999</v>
      </c>
      <c r="E356" s="1">
        <v>0</v>
      </c>
      <c r="F356" s="2">
        <v>7.4855790000000005E-4</v>
      </c>
    </row>
    <row r="357" spans="1:6" x14ac:dyDescent="0.25">
      <c r="A357" t="s">
        <v>7</v>
      </c>
      <c r="B357" s="5" t="str">
        <f>HYPERLINK("http://www.broadinstitute.org/gsea/msigdb/cards/GOCC_EXTRACELLULAR_ORGANELLE.html","GOCC_EXTRACELLULAR_ORGANELLE")</f>
        <v>GOCC_EXTRACELLULAR_ORGANELLE</v>
      </c>
      <c r="C357" s="4">
        <v>110</v>
      </c>
      <c r="D357" s="3">
        <v>2.0096316000000001</v>
      </c>
      <c r="E357" s="1">
        <v>0</v>
      </c>
      <c r="F357" s="2">
        <v>7.4644339999999998E-4</v>
      </c>
    </row>
    <row r="358" spans="1:6" x14ac:dyDescent="0.25">
      <c r="A358" t="s">
        <v>6</v>
      </c>
      <c r="B358" s="5" t="str">
        <f>HYPERLINK("http://www.broadinstitute.org/gsea/msigdb/cards/GOBP_REGULATION_OF_B_CELL_DIFFERENTIATION.html","GOBP_REGULATION_OF_B_CELL_DIFFERENTIATION")</f>
        <v>GOBP_REGULATION_OF_B_CELL_DIFFERENTIATION</v>
      </c>
      <c r="C358" s="4">
        <v>37</v>
      </c>
      <c r="D358" s="3">
        <v>2.0082122999999998</v>
      </c>
      <c r="E358" s="1">
        <v>0</v>
      </c>
      <c r="F358" s="2">
        <v>7.6262077000000005E-4</v>
      </c>
    </row>
    <row r="359" spans="1:6" x14ac:dyDescent="0.25">
      <c r="A359" t="s">
        <v>6</v>
      </c>
      <c r="B359" s="5" t="str">
        <f>HYPERLINK("http://www.broadinstitute.org/gsea/msigdb/cards/GOBP_INTERLEUKIN_12_PRODUCTION.html","GOBP_INTERLEUKIN_12_PRODUCTION")</f>
        <v>GOBP_INTERLEUKIN_12_PRODUCTION</v>
      </c>
      <c r="C359" s="4">
        <v>65</v>
      </c>
      <c r="D359" s="3">
        <v>2.0068220000000001</v>
      </c>
      <c r="E359" s="1">
        <v>0</v>
      </c>
      <c r="F359" s="2">
        <v>7.7867979999999995E-4</v>
      </c>
    </row>
    <row r="360" spans="1:6" x14ac:dyDescent="0.25">
      <c r="A360" t="s">
        <v>6</v>
      </c>
      <c r="B360" s="5" t="str">
        <f>HYPERLINK("http://www.broadinstitute.org/gsea/msigdb/cards/GOBP_REGULATION_OF_ALPHA_BETA_T_CELL_ACTIVATION.html","GOBP_REGULATION_OF_ALPHA_BETA_T_CELL_ACTIVATION")</f>
        <v>GOBP_REGULATION_OF_ALPHA_BETA_T_CELL_ACTIVATION</v>
      </c>
      <c r="C360" s="4">
        <v>131</v>
      </c>
      <c r="D360" s="3">
        <v>2.0063944</v>
      </c>
      <c r="E360" s="1">
        <v>0</v>
      </c>
      <c r="F360" s="2">
        <v>7.8553879999999996E-4</v>
      </c>
    </row>
    <row r="361" spans="1:6" x14ac:dyDescent="0.25">
      <c r="A361" t="s">
        <v>6</v>
      </c>
      <c r="B361" s="5" t="str">
        <f>HYPERLINK("http://www.broadinstitute.org/gsea/msigdb/cards/GOBP_REGULATION_OF_MYELOID_LEUKOCYTE_DIFFERENTIATION.html","GOBP_REGULATION_OF_MYELOID_LEUKOCYTE_DIFFERENTIATION")</f>
        <v>GOBP_REGULATION_OF_MYELOID_LEUKOCYTE_DIFFERENTIATION</v>
      </c>
      <c r="C361" s="4">
        <v>141</v>
      </c>
      <c r="D361" s="3">
        <v>2.0062555999999998</v>
      </c>
      <c r="E361" s="1">
        <v>0</v>
      </c>
      <c r="F361" s="2">
        <v>7.8334455999999998E-4</v>
      </c>
    </row>
    <row r="362" spans="1:6" x14ac:dyDescent="0.25">
      <c r="A362" t="s">
        <v>6</v>
      </c>
      <c r="B362" s="5" t="str">
        <f>HYPERLINK("http://www.broadinstitute.org/gsea/msigdb/cards/GOBP_REGULATION_OF_RESPONSE_TO_OXIDATIVE_STRESS.html","GOBP_REGULATION_OF_RESPONSE_TO_OXIDATIVE_STRESS")</f>
        <v>GOBP_REGULATION_OF_RESPONSE_TO_OXIDATIVE_STRESS</v>
      </c>
      <c r="C362" s="4">
        <v>36</v>
      </c>
      <c r="D362" s="3">
        <v>2.0060375000000001</v>
      </c>
      <c r="E362" s="1">
        <v>0</v>
      </c>
      <c r="F362" s="2">
        <v>7.8718159999999996E-4</v>
      </c>
    </row>
    <row r="363" spans="1:6" x14ac:dyDescent="0.25">
      <c r="A363" t="s">
        <v>6</v>
      </c>
      <c r="B363" s="5" t="str">
        <f>HYPERLINK("http://www.broadinstitute.org/gsea/msigdb/cards/GOBP_POSITIVE_REGULATION_OF_EXTRINSIC_APOPTOTIC_SIGNALING_PATHWAY.html","GOBP_POSITIVE_REGULATION_OF_EXTRINSIC_APOPTOTIC_SIGNALING_PATHWAY")</f>
        <v>GOBP_POSITIVE_REGULATION_OF_EXTRINSIC_APOPTOTIC_SIGNALING_PATHWAY</v>
      </c>
      <c r="C363" s="4">
        <v>63</v>
      </c>
      <c r="D363" s="3">
        <v>2.0057806999999999</v>
      </c>
      <c r="E363" s="1">
        <v>0</v>
      </c>
      <c r="F363" s="2">
        <v>7.8499500000000003E-4</v>
      </c>
    </row>
    <row r="364" spans="1:6" x14ac:dyDescent="0.25">
      <c r="A364" t="s">
        <v>6</v>
      </c>
      <c r="B364" s="5" t="str">
        <f>HYPERLINK("http://www.broadinstitute.org/gsea/msigdb/cards/GOBP_REGULATION_OF_MACROPHAGE_ACTIVATION.html","GOBP_REGULATION_OF_MACROPHAGE_ACTIVATION")</f>
        <v>GOBP_REGULATION_OF_MACROPHAGE_ACTIVATION</v>
      </c>
      <c r="C364" s="4">
        <v>56</v>
      </c>
      <c r="D364" s="3">
        <v>2.0057613999999999</v>
      </c>
      <c r="E364" s="1">
        <v>0</v>
      </c>
      <c r="F364" s="2">
        <v>7.8282044999999998E-4</v>
      </c>
    </row>
    <row r="365" spans="1:6" x14ac:dyDescent="0.25">
      <c r="A365" t="s">
        <v>11</v>
      </c>
      <c r="B365" s="5" t="str">
        <f>HYPERLINK("http://www.broadinstitute.org/gsea/msigdb/cards/WP_FIBRIN_COMPLEMENT_RECEPTOR_3_SIGNALING_PATHWAY.html","WP_FIBRIN_COMPLEMENT_RECEPTOR_3_SIGNALING_PATHWAY")</f>
        <v>WP_FIBRIN_COMPLEMENT_RECEPTOR_3_SIGNALING_PATHWAY</v>
      </c>
      <c r="C365" s="4">
        <v>43</v>
      </c>
      <c r="D365" s="3">
        <v>2.0038490000000002</v>
      </c>
      <c r="E365" s="1">
        <v>1.5723270000000001E-3</v>
      </c>
      <c r="F365" s="2">
        <v>8.0751810000000005E-4</v>
      </c>
    </row>
    <row r="366" spans="1:6" x14ac:dyDescent="0.25">
      <c r="A366" t="s">
        <v>6</v>
      </c>
      <c r="B366" s="5" t="str">
        <f>HYPERLINK("http://www.broadinstitute.org/gsea/msigdb/cards/GOBP_LEUKOCYTE_APOPTOTIC_PROCESS.html","GOBP_LEUKOCYTE_APOPTOTIC_PROCESS")</f>
        <v>GOBP_LEUKOCYTE_APOPTOTIC_PROCESS</v>
      </c>
      <c r="C366" s="4">
        <v>133</v>
      </c>
      <c r="D366" s="3">
        <v>2.0032842</v>
      </c>
      <c r="E366" s="1">
        <v>0</v>
      </c>
      <c r="F366" s="2">
        <v>8.1423439999999997E-4</v>
      </c>
    </row>
    <row r="367" spans="1:6" x14ac:dyDescent="0.25">
      <c r="A367" t="s">
        <v>10</v>
      </c>
      <c r="B367" s="5" t="str">
        <f>HYPERLINK("http://www.broadinstitute.org/gsea/msigdb/cards/REACTOME_CLASS_A_1_RHODOPSIN_LIKE_RECEPTORS.html","REACTOME_CLASS_A_1_RHODOPSIN_LIKE_RECEPTORS")</f>
        <v>REACTOME_CLASS_A_1_RHODOPSIN_LIKE_RECEPTORS</v>
      </c>
      <c r="C367" s="4">
        <v>284</v>
      </c>
      <c r="D367" s="3">
        <v>2.0031113999999999</v>
      </c>
      <c r="E367" s="1">
        <v>0</v>
      </c>
      <c r="F367" s="2">
        <v>8.149842E-4</v>
      </c>
    </row>
    <row r="368" spans="1:6" x14ac:dyDescent="0.25">
      <c r="A368" t="s">
        <v>6</v>
      </c>
      <c r="B368" s="5" t="str">
        <f>HYPERLINK("http://www.broadinstitute.org/gsea/msigdb/cards/GOBP_REGULATION_OF_EPITHELIAL_CELL_MIGRATION.html","GOBP_REGULATION_OF_EPITHELIAL_CELL_MIGRATION")</f>
        <v>GOBP_REGULATION_OF_EPITHELIAL_CELL_MIGRATION</v>
      </c>
      <c r="C368" s="4">
        <v>245</v>
      </c>
      <c r="D368" s="3">
        <v>2.0030770000000002</v>
      </c>
      <c r="E368" s="1">
        <v>0</v>
      </c>
      <c r="F368" s="2">
        <v>8.1275140000000004E-4</v>
      </c>
    </row>
    <row r="369" spans="1:6" x14ac:dyDescent="0.25">
      <c r="A369" t="s">
        <v>6</v>
      </c>
      <c r="B369" s="5" t="str">
        <f>HYPERLINK("http://www.broadinstitute.org/gsea/msigdb/cards/GOBP_COLLAGEN_FIBRIL_ORGANIZATION.html","GOBP_COLLAGEN_FIBRIL_ORGANIZATION")</f>
        <v>GOBP_COLLAGEN_FIBRIL_ORGANIZATION</v>
      </c>
      <c r="C369" s="4">
        <v>61</v>
      </c>
      <c r="D369" s="3">
        <v>2.0030763</v>
      </c>
      <c r="E369" s="1">
        <v>0</v>
      </c>
      <c r="F369" s="2">
        <v>8.1053080000000001E-4</v>
      </c>
    </row>
    <row r="370" spans="1:6" x14ac:dyDescent="0.25">
      <c r="A370" t="s">
        <v>6</v>
      </c>
      <c r="B370" s="5" t="str">
        <f>HYPERLINK("http://www.broadinstitute.org/gsea/msigdb/cards/GOBP_TYPE_I_INTERFERON_PRODUCTION.html","GOBP_TYPE_I_INTERFERON_PRODUCTION")</f>
        <v>GOBP_TYPE_I_INTERFERON_PRODUCTION</v>
      </c>
      <c r="C370" s="4">
        <v>133</v>
      </c>
      <c r="D370" s="3">
        <v>2.0029940000000002</v>
      </c>
      <c r="E370" s="1">
        <v>0</v>
      </c>
      <c r="F370" s="2">
        <v>8.0832229999999998E-4</v>
      </c>
    </row>
    <row r="371" spans="1:6" x14ac:dyDescent="0.25">
      <c r="A371" t="s">
        <v>6</v>
      </c>
      <c r="B371" s="5" t="str">
        <f>HYPERLINK("http://www.broadinstitute.org/gsea/msigdb/cards/GOBP_LAMELLIPODIUM_ORGANIZATION.html","GOBP_LAMELLIPODIUM_ORGANIZATION")</f>
        <v>GOBP_LAMELLIPODIUM_ORGANIZATION</v>
      </c>
      <c r="C371" s="4">
        <v>92</v>
      </c>
      <c r="D371" s="3">
        <v>2.0023092999999998</v>
      </c>
      <c r="E371" s="1">
        <v>0</v>
      </c>
      <c r="F371" s="2">
        <v>8.0906163E-4</v>
      </c>
    </row>
    <row r="372" spans="1:6" x14ac:dyDescent="0.25">
      <c r="A372" t="s">
        <v>6</v>
      </c>
      <c r="B372" s="5" t="str">
        <f>HYPERLINK("http://www.broadinstitute.org/gsea/msigdb/cards/GOBP_INFLAMMATORY_RESPONSE_TO_ANTIGENIC_STIMULUS.html","GOBP_INFLAMMATORY_RESPONSE_TO_ANTIGENIC_STIMULUS")</f>
        <v>GOBP_INFLAMMATORY_RESPONSE_TO_ANTIGENIC_STIMULUS</v>
      </c>
      <c r="C372" s="4">
        <v>84</v>
      </c>
      <c r="D372" s="3">
        <v>2.0019269999999998</v>
      </c>
      <c r="E372" s="1">
        <v>0</v>
      </c>
      <c r="F372" s="2">
        <v>8.1566509999999996E-4</v>
      </c>
    </row>
    <row r="373" spans="1:6" x14ac:dyDescent="0.25">
      <c r="A373" t="s">
        <v>6</v>
      </c>
      <c r="B373" s="5" t="str">
        <f>HYPERLINK("http://www.broadinstitute.org/gsea/msigdb/cards/GOBP_REGULATION_OF_SUPEROXIDE_ANION_GENERATION.html","GOBP_REGULATION_OF_SUPEROXIDE_ANION_GENERATION")</f>
        <v>GOBP_REGULATION_OF_SUPEROXIDE_ANION_GENERATION</v>
      </c>
      <c r="C373" s="4">
        <v>29</v>
      </c>
      <c r="D373" s="3">
        <v>2.0014427000000001</v>
      </c>
      <c r="E373" s="1">
        <v>0</v>
      </c>
      <c r="F373" s="2">
        <v>8.3111890000000003E-4</v>
      </c>
    </row>
    <row r="374" spans="1:6" x14ac:dyDescent="0.25">
      <c r="A374" t="s">
        <v>6</v>
      </c>
      <c r="B374" s="5" t="str">
        <f>HYPERLINK("http://www.broadinstitute.org/gsea/msigdb/cards/GOBP_POSITIVE_REGULATION_OF_NF_KAPPAB_TRANSCRIPTION_FACTOR_ACTIVITY.html","GOBP_POSITIVE_REGULATION_OF_NF_KAPPAB_TRANSCRIPTION_FACTOR_ACTIVITY")</f>
        <v>GOBP_POSITIVE_REGULATION_OF_NF_KAPPAB_TRANSCRIPTION_FACTOR_ACTIVITY</v>
      </c>
      <c r="C374" s="4">
        <v>152</v>
      </c>
      <c r="D374" s="3">
        <v>2.0000505</v>
      </c>
      <c r="E374" s="1">
        <v>0</v>
      </c>
      <c r="F374" s="2">
        <v>8.5807405000000003E-4</v>
      </c>
    </row>
    <row r="375" spans="1:6" x14ac:dyDescent="0.25">
      <c r="A375" t="s">
        <v>8</v>
      </c>
      <c r="B375" s="5" t="str">
        <f>HYPERLINK("http://www.broadinstitute.org/gsea/msigdb/cards/GOMF_NON_MEMBRANE_SPANNING_PROTEIN_TYROSINE_KINASE_ACTIVITY.html","GOMF_NON_MEMBRANE_SPANNING_PROTEIN_TYROSINE_KINASE_ACTIVITY")</f>
        <v>GOMF_NON_MEMBRANE_SPANNING_PROTEIN_TYROSINE_KINASE_ACTIVITY</v>
      </c>
      <c r="C375" s="4">
        <v>45</v>
      </c>
      <c r="D375" s="3">
        <v>1.9999237000000001</v>
      </c>
      <c r="E375" s="1">
        <v>0</v>
      </c>
      <c r="F375" s="2">
        <v>8.6154899999999997E-4</v>
      </c>
    </row>
    <row r="376" spans="1:6" x14ac:dyDescent="0.25">
      <c r="A376" t="s">
        <v>6</v>
      </c>
      <c r="B376" s="5" t="str">
        <f>HYPERLINK("http://www.broadinstitute.org/gsea/msigdb/cards/GOBP_CELL_SUBSTRATE_ADHESION.html","GOBP_CELL_SUBSTRATE_ADHESION")</f>
        <v>GOBP_CELL_SUBSTRATE_ADHESION</v>
      </c>
      <c r="C376" s="4">
        <v>364</v>
      </c>
      <c r="D376" s="3">
        <v>1.9985862999999999</v>
      </c>
      <c r="E376" s="1">
        <v>0</v>
      </c>
      <c r="F376" s="2">
        <v>8.8253490000000001E-4</v>
      </c>
    </row>
    <row r="377" spans="1:6" x14ac:dyDescent="0.25">
      <c r="A377" t="s">
        <v>8</v>
      </c>
      <c r="B377" s="5" t="str">
        <f>HYPERLINK("http://www.broadinstitute.org/gsea/msigdb/cards/GOMF_PEPTIDOGLYCAN_BINDING.html","GOMF_PEPTIDOGLYCAN_BINDING")</f>
        <v>GOMF_PEPTIDOGLYCAN_BINDING</v>
      </c>
      <c r="C377" s="4">
        <v>15</v>
      </c>
      <c r="D377" s="3">
        <v>1.9981519999999999</v>
      </c>
      <c r="E377" s="1">
        <v>0</v>
      </c>
      <c r="F377" s="2">
        <v>8.8308576999999999E-4</v>
      </c>
    </row>
    <row r="378" spans="1:6" x14ac:dyDescent="0.25">
      <c r="A378" t="s">
        <v>6</v>
      </c>
      <c r="B378" s="5" t="str">
        <f>HYPERLINK("http://www.broadinstitute.org/gsea/msigdb/cards/GOBP_BONE_REMODELING.html","GOBP_BONE_REMODELING")</f>
        <v>GOBP_BONE_REMODELING</v>
      </c>
      <c r="C378" s="4">
        <v>102</v>
      </c>
      <c r="D378" s="3">
        <v>1.9977176999999999</v>
      </c>
      <c r="E378" s="1">
        <v>0</v>
      </c>
      <c r="F378" s="2">
        <v>8.8655609999999997E-4</v>
      </c>
    </row>
    <row r="379" spans="1:6" x14ac:dyDescent="0.25">
      <c r="A379" t="s">
        <v>6</v>
      </c>
      <c r="B379" s="5" t="str">
        <f>HYPERLINK("http://www.broadinstitute.org/gsea/msigdb/cards/GOBP_CELLULAR_RESPONSE_TO_VIRUS.html","GOBP_CELLULAR_RESPONSE_TO_VIRUS")</f>
        <v>GOBP_CELLULAR_RESPONSE_TO_VIRUS</v>
      </c>
      <c r="C379" s="4">
        <v>47</v>
      </c>
      <c r="D379" s="3">
        <v>1.9977129</v>
      </c>
      <c r="E379" s="1">
        <v>0</v>
      </c>
      <c r="F379" s="2">
        <v>8.8419829999999999E-4</v>
      </c>
    </row>
    <row r="380" spans="1:6" x14ac:dyDescent="0.25">
      <c r="A380" t="s">
        <v>8</v>
      </c>
      <c r="B380" s="5" t="str">
        <f>HYPERLINK("http://www.broadinstitute.org/gsea/msigdb/cards/GOMF_CYTOKINE_BINDING.html","GOMF_CYTOKINE_BINDING")</f>
        <v>GOMF_CYTOKINE_BINDING</v>
      </c>
      <c r="C380" s="4">
        <v>141</v>
      </c>
      <c r="D380" s="3">
        <v>1.9976106</v>
      </c>
      <c r="E380" s="1">
        <v>0</v>
      </c>
      <c r="F380" s="2">
        <v>8.8185293E-4</v>
      </c>
    </row>
    <row r="381" spans="1:6" x14ac:dyDescent="0.25">
      <c r="A381" t="s">
        <v>8</v>
      </c>
      <c r="B381" s="5" t="str">
        <f>HYPERLINK("http://www.broadinstitute.org/gsea/msigdb/cards/GOMF_MHC_PROTEIN_COMPLEX_BINDING.html","GOMF_MHC_PROTEIN_COMPLEX_BINDING")</f>
        <v>GOMF_MHC_PROTEIN_COMPLEX_BINDING</v>
      </c>
      <c r="C381" s="4">
        <v>21</v>
      </c>
      <c r="D381" s="3">
        <v>1.9956849999999999</v>
      </c>
      <c r="E381" s="1">
        <v>0</v>
      </c>
      <c r="F381" s="2">
        <v>8.9957890000000003E-4</v>
      </c>
    </row>
    <row r="382" spans="1:6" x14ac:dyDescent="0.25">
      <c r="A382" t="s">
        <v>6</v>
      </c>
      <c r="B382" s="5" t="str">
        <f>HYPERLINK("http://www.broadinstitute.org/gsea/msigdb/cards/GOBP_POSITIVE_REGULATION_OF_LEUKOCYTE_TETHERING_OR_ROLLING.html","GOBP_POSITIVE_REGULATION_OF_LEUKOCYTE_TETHERING_OR_ROLLING")</f>
        <v>GOBP_POSITIVE_REGULATION_OF_LEUKOCYTE_TETHERING_OR_ROLLING</v>
      </c>
      <c r="C382" s="4">
        <v>15</v>
      </c>
      <c r="D382" s="3">
        <v>1.9947568</v>
      </c>
      <c r="E382" s="1">
        <v>0</v>
      </c>
      <c r="F382" s="2">
        <v>9.2016329999999999E-4</v>
      </c>
    </row>
    <row r="383" spans="1:6" x14ac:dyDescent="0.25">
      <c r="A383" t="s">
        <v>6</v>
      </c>
      <c r="B383" s="5" t="str">
        <f>HYPERLINK("http://www.broadinstitute.org/gsea/msigdb/cards/GOBP_NEGATIVE_REGULATION_OF_TYPE_II_INTERFERON_PRODUCTION.html","GOBP_NEGATIVE_REGULATION_OF_TYPE_II_INTERFERON_PRODUCTION")</f>
        <v>GOBP_NEGATIVE_REGULATION_OF_TYPE_II_INTERFERON_PRODUCTION</v>
      </c>
      <c r="C383" s="4">
        <v>40</v>
      </c>
      <c r="D383" s="3">
        <v>1.9947488</v>
      </c>
      <c r="E383" s="1">
        <v>0</v>
      </c>
      <c r="F383" s="2">
        <v>9.1774179999999997E-4</v>
      </c>
    </row>
    <row r="384" spans="1:6" x14ac:dyDescent="0.25">
      <c r="A384" t="s">
        <v>6</v>
      </c>
      <c r="B384" s="5" t="str">
        <f>HYPERLINK("http://www.broadinstitute.org/gsea/msigdb/cards/GOBP_HOMOTYPIC_CELL_CELL_ADHESION.html","GOBP_HOMOTYPIC_CELL_CELL_ADHESION")</f>
        <v>GOBP_HOMOTYPIC_CELL_CELL_ADHESION</v>
      </c>
      <c r="C384" s="4">
        <v>86</v>
      </c>
      <c r="D384" s="3">
        <v>1.994281</v>
      </c>
      <c r="E384" s="1">
        <v>0</v>
      </c>
      <c r="F384" s="2">
        <v>9.2379699999999996E-4</v>
      </c>
    </row>
    <row r="385" spans="1:6" x14ac:dyDescent="0.25">
      <c r="A385" t="s">
        <v>6</v>
      </c>
      <c r="B385" s="5" t="str">
        <f>HYPERLINK("http://www.broadinstitute.org/gsea/msigdb/cards/GOBP_POSITIVE_REGULATION_OF_ENDOTHELIAL_CELL_PROLIFERATION.html","GOBP_POSITIVE_REGULATION_OF_ENDOTHELIAL_CELL_PROLIFERATION")</f>
        <v>GOBP_POSITIVE_REGULATION_OF_ENDOTHELIAL_CELL_PROLIFERATION</v>
      </c>
      <c r="C385" s="4">
        <v>100</v>
      </c>
      <c r="D385" s="3">
        <v>1.9938716000000001</v>
      </c>
      <c r="E385" s="1">
        <v>0</v>
      </c>
      <c r="F385" s="2">
        <v>9.2990360000000003E-4</v>
      </c>
    </row>
    <row r="386" spans="1:6" x14ac:dyDescent="0.25">
      <c r="A386" t="s">
        <v>6</v>
      </c>
      <c r="B386" s="5" t="str">
        <f>HYPERLINK("http://www.broadinstitute.org/gsea/msigdb/cards/GOBP_SURFACTANT_HOMEOSTASIS.html","GOBP_SURFACTANT_HOMEOSTASIS")</f>
        <v>GOBP_SURFACTANT_HOMEOSTASIS</v>
      </c>
      <c r="C386" s="4">
        <v>28</v>
      </c>
      <c r="D386" s="3">
        <v>1.9931821999999999</v>
      </c>
      <c r="E386" s="1">
        <v>1.6501650999999999E-3</v>
      </c>
      <c r="F386" s="2">
        <v>9.2747562999999996E-4</v>
      </c>
    </row>
    <row r="387" spans="1:6" x14ac:dyDescent="0.25">
      <c r="A387" t="s">
        <v>6</v>
      </c>
      <c r="B387" s="5" t="str">
        <f>HYPERLINK("http://www.broadinstitute.org/gsea/msigdb/cards/GOBP_POSITIVE_REGULATION_OF_ERK1_AND_ERK2_CASCADE.html","GOBP_POSITIVE_REGULATION_OF_ERK1_AND_ERK2_CASCADE")</f>
        <v>GOBP_POSITIVE_REGULATION_OF_ERK1_AND_ERK2_CASCADE</v>
      </c>
      <c r="C387" s="4">
        <v>224</v>
      </c>
      <c r="D387" s="3">
        <v>1.9926562000000001</v>
      </c>
      <c r="E387" s="1">
        <v>0</v>
      </c>
      <c r="F387" s="2">
        <v>9.3067995999999997E-4</v>
      </c>
    </row>
    <row r="388" spans="1:6" x14ac:dyDescent="0.25">
      <c r="A388" t="s">
        <v>6</v>
      </c>
      <c r="B388" s="5" t="str">
        <f>HYPERLINK("http://www.broadinstitute.org/gsea/msigdb/cards/GOBP_ANTIMICROBIAL_HUMORAL_RESPONSE.html","GOBP_ANTIMICROBIAL_HUMORAL_RESPONSE")</f>
        <v>GOBP_ANTIMICROBIAL_HUMORAL_RESPONSE</v>
      </c>
      <c r="C388" s="4">
        <v>118</v>
      </c>
      <c r="D388" s="3">
        <v>1.9925231000000001</v>
      </c>
      <c r="E388" s="1">
        <v>0</v>
      </c>
      <c r="F388" s="2">
        <v>9.3109200000000001E-4</v>
      </c>
    </row>
    <row r="389" spans="1:6" x14ac:dyDescent="0.25">
      <c r="A389" t="s">
        <v>6</v>
      </c>
      <c r="B389" s="5" t="str">
        <f>HYPERLINK("http://www.broadinstitute.org/gsea/msigdb/cards/GOBP_REGULATION_OF_CELL_MIGRATION_INVOLVED_IN_SPROUTING_ANGIOGENESIS.html","GOBP_REGULATION_OF_CELL_MIGRATION_INVOLVED_IN_SPROUTING_ANGIOGENESIS")</f>
        <v>GOBP_REGULATION_OF_CELL_MIGRATION_INVOLVED_IN_SPROUTING_ANGIOGENESIS</v>
      </c>
      <c r="C389" s="4">
        <v>39</v>
      </c>
      <c r="D389" s="3">
        <v>1.9922625</v>
      </c>
      <c r="E389" s="1">
        <v>0</v>
      </c>
      <c r="F389" s="2">
        <v>9.3147274999999996E-4</v>
      </c>
    </row>
    <row r="390" spans="1:6" x14ac:dyDescent="0.25">
      <c r="A390" t="s">
        <v>6</v>
      </c>
      <c r="B390" s="5" t="str">
        <f>HYPERLINK("http://www.broadinstitute.org/gsea/msigdb/cards/GOBP_ENTRY_INTO_HOST.html","GOBP_ENTRY_INTO_HOST")</f>
        <v>GOBP_ENTRY_INTO_HOST</v>
      </c>
      <c r="C390" s="4">
        <v>98</v>
      </c>
      <c r="D390" s="3">
        <v>1.9921659</v>
      </c>
      <c r="E390" s="1">
        <v>0</v>
      </c>
      <c r="F390" s="2">
        <v>9.2906580000000002E-4</v>
      </c>
    </row>
    <row r="391" spans="1:6" x14ac:dyDescent="0.25">
      <c r="A391" t="s">
        <v>10</v>
      </c>
      <c r="B391" s="5" t="str">
        <f>HYPERLINK("http://www.broadinstitute.org/gsea/msigdb/cards/REACTOME_GPVI_MEDIATED_ACTIVATION_CASCADE.html","REACTOME_GPVI_MEDIATED_ACTIVATION_CASCADE")</f>
        <v>REACTOME_GPVI_MEDIATED_ACTIVATION_CASCADE</v>
      </c>
      <c r="C391" s="4">
        <v>34</v>
      </c>
      <c r="D391" s="3">
        <v>1.9915366999999999</v>
      </c>
      <c r="E391" s="1">
        <v>0</v>
      </c>
      <c r="F391" s="2">
        <v>9.3501585000000005E-4</v>
      </c>
    </row>
    <row r="392" spans="1:6" x14ac:dyDescent="0.25">
      <c r="A392" t="s">
        <v>6</v>
      </c>
      <c r="B392" s="5" t="str">
        <f>HYPERLINK("http://www.broadinstitute.org/gsea/msigdb/cards/GOBP_TOLL_LIKE_RECEPTOR_3_SIGNALING_PATHWAY.html","GOBP_TOLL_LIKE_RECEPTOR_3_SIGNALING_PATHWAY")</f>
        <v>GOBP_TOLL_LIKE_RECEPTOR_3_SIGNALING_PATHWAY</v>
      </c>
      <c r="C392" s="4">
        <v>31</v>
      </c>
      <c r="D392" s="3">
        <v>1.9857543</v>
      </c>
      <c r="E392" s="1">
        <v>1.7182130999999999E-3</v>
      </c>
      <c r="F392" s="2">
        <v>1.0275061999999999E-3</v>
      </c>
    </row>
    <row r="393" spans="1:6" x14ac:dyDescent="0.25">
      <c r="A393" t="s">
        <v>5</v>
      </c>
      <c r="B393" s="5" t="str">
        <f>HYPERLINK("http://www.broadinstitute.org/gsea/msigdb/cards/BIOCARTA_CASPASE_PATHWAY.html","BIOCARTA_CASPASE_PATHWAY")</f>
        <v>BIOCARTA_CASPASE_PATHWAY</v>
      </c>
      <c r="C393" s="4">
        <v>22</v>
      </c>
      <c r="D393" s="3">
        <v>1.9854593</v>
      </c>
      <c r="E393" s="1">
        <v>0</v>
      </c>
      <c r="F393" s="2">
        <v>1.0248716000000001E-3</v>
      </c>
    </row>
    <row r="394" spans="1:6" x14ac:dyDescent="0.25">
      <c r="A394" t="s">
        <v>6</v>
      </c>
      <c r="B394" s="5" t="str">
        <f>HYPERLINK("http://www.broadinstitute.org/gsea/msigdb/cards/GOBP_REGULATION_OF_SYNCYTIUM_FORMATION_BY_PLASMA_MEMBRANE_FUSION.html","GOBP_REGULATION_OF_SYNCYTIUM_FORMATION_BY_PLASMA_MEMBRANE_FUSION")</f>
        <v>GOBP_REGULATION_OF_SYNCYTIUM_FORMATION_BY_PLASMA_MEMBRANE_FUSION</v>
      </c>
      <c r="C394" s="4">
        <v>34</v>
      </c>
      <c r="D394" s="3">
        <v>1.9850738999999999</v>
      </c>
      <c r="E394" s="1">
        <v>0</v>
      </c>
      <c r="F394" s="2">
        <v>1.0277724000000001E-3</v>
      </c>
    </row>
    <row r="395" spans="1:6" x14ac:dyDescent="0.25">
      <c r="A395" t="s">
        <v>6</v>
      </c>
      <c r="B395" s="5" t="str">
        <f>HYPERLINK("http://www.broadinstitute.org/gsea/msigdb/cards/GOBP_SUPEROXIDE_ANION_GENERATION.html","GOBP_SUPEROXIDE_ANION_GENERATION")</f>
        <v>GOBP_SUPEROXIDE_ANION_GENERATION</v>
      </c>
      <c r="C395" s="4">
        <v>46</v>
      </c>
      <c r="D395" s="3">
        <v>1.9839808999999999</v>
      </c>
      <c r="E395" s="1">
        <v>0</v>
      </c>
      <c r="F395" s="2">
        <v>1.0500037999999999E-3</v>
      </c>
    </row>
    <row r="396" spans="1:6" x14ac:dyDescent="0.25">
      <c r="A396" t="s">
        <v>6</v>
      </c>
      <c r="B396" s="5" t="str">
        <f>HYPERLINK("http://www.broadinstitute.org/gsea/msigdb/cards/GOBP_REGULATION_OF_LEUKOCYTE_TETHERING_OR_ROLLING.html","GOBP_REGULATION_OF_LEUKOCYTE_TETHERING_OR_ROLLING")</f>
        <v>GOBP_REGULATION_OF_LEUKOCYTE_TETHERING_OR_ROLLING</v>
      </c>
      <c r="C396" s="4">
        <v>19</v>
      </c>
      <c r="D396" s="3">
        <v>1.9833867999999999</v>
      </c>
      <c r="E396" s="1">
        <v>0</v>
      </c>
      <c r="F396" s="2">
        <v>1.0555706E-3</v>
      </c>
    </row>
    <row r="397" spans="1:6" x14ac:dyDescent="0.25">
      <c r="A397" t="s">
        <v>7</v>
      </c>
      <c r="B397" s="5" t="str">
        <f>HYPERLINK("http://www.broadinstitute.org/gsea/msigdb/cards/GOCC_ENDOCYTIC_VESICLE_MEMBRANE.html","GOCC_ENDOCYTIC_VESICLE_MEMBRANE")</f>
        <v>GOCC_ENDOCYTIC_VESICLE_MEMBRANE</v>
      </c>
      <c r="C397" s="4">
        <v>45</v>
      </c>
      <c r="D397" s="3">
        <v>1.9818081999999999</v>
      </c>
      <c r="E397" s="1">
        <v>0</v>
      </c>
      <c r="F397" s="2">
        <v>1.0831748E-3</v>
      </c>
    </row>
    <row r="398" spans="1:6" x14ac:dyDescent="0.25">
      <c r="A398" t="s">
        <v>10</v>
      </c>
      <c r="B398" s="5" t="str">
        <f>HYPERLINK("http://www.broadinstitute.org/gsea/msigdb/cards/REACTOME_GPCR_LIGAND_BINDING.html","REACTOME_GPCR_LIGAND_BINDING")</f>
        <v>REACTOME_GPCR_LIGAND_BINDING</v>
      </c>
      <c r="C398" s="4">
        <v>350</v>
      </c>
      <c r="D398" s="3">
        <v>1.9816909</v>
      </c>
      <c r="E398" s="1">
        <v>0</v>
      </c>
      <c r="F398" s="2">
        <v>1.0831541000000001E-3</v>
      </c>
    </row>
    <row r="399" spans="1:6" x14ac:dyDescent="0.25">
      <c r="A399" t="s">
        <v>8</v>
      </c>
      <c r="B399" s="5" t="str">
        <f>HYPERLINK("http://www.broadinstitute.org/gsea/msigdb/cards/GOMF_PROTEIN_TYROSINE_KINASE_ACTIVATOR_ACTIVITY.html","GOMF_PROTEIN_TYROSINE_KINASE_ACTIVATOR_ACTIVITY")</f>
        <v>GOMF_PROTEIN_TYROSINE_KINASE_ACTIVATOR_ACTIVITY</v>
      </c>
      <c r="C399" s="4">
        <v>31</v>
      </c>
      <c r="D399" s="3">
        <v>1.9792555999999999</v>
      </c>
      <c r="E399" s="1">
        <v>0</v>
      </c>
      <c r="F399" s="2">
        <v>1.1240743E-3</v>
      </c>
    </row>
    <row r="400" spans="1:6" x14ac:dyDescent="0.25">
      <c r="A400" t="s">
        <v>8</v>
      </c>
      <c r="B400" s="5" t="str">
        <f>HYPERLINK("http://www.broadinstitute.org/gsea/msigdb/cards/GOMF_SH3_DOMAIN_BINDING.html","GOMF_SH3_DOMAIN_BINDING")</f>
        <v>GOMF_SH3_DOMAIN_BINDING</v>
      </c>
      <c r="C400" s="4">
        <v>129</v>
      </c>
      <c r="D400" s="3">
        <v>1.9790829999999999</v>
      </c>
      <c r="E400" s="1">
        <v>0</v>
      </c>
      <c r="F400" s="2">
        <v>1.1212429E-3</v>
      </c>
    </row>
    <row r="401" spans="1:6" x14ac:dyDescent="0.25">
      <c r="A401" t="s">
        <v>6</v>
      </c>
      <c r="B401" s="5" t="str">
        <f>HYPERLINK("http://www.broadinstitute.org/gsea/msigdb/cards/GOBP_REGULATION_OF_PLATELET_ACTIVATION.html","GOBP_REGULATION_OF_PLATELET_ACTIVATION")</f>
        <v>GOBP_REGULATION_OF_PLATELET_ACTIVATION</v>
      </c>
      <c r="C401" s="4">
        <v>44</v>
      </c>
      <c r="D401" s="3">
        <v>1.9786828999999999</v>
      </c>
      <c r="E401" s="1">
        <v>1.6611295000000001E-3</v>
      </c>
      <c r="F401" s="2">
        <v>1.1347962000000001E-3</v>
      </c>
    </row>
    <row r="402" spans="1:6" x14ac:dyDescent="0.25">
      <c r="A402" t="s">
        <v>6</v>
      </c>
      <c r="B402" s="5" t="str">
        <f>HYPERLINK("http://www.broadinstitute.org/gsea/msigdb/cards/GOBP_DENDRITIC_CELL_DIFFERENTIATION.html","GOBP_DENDRITIC_CELL_DIFFERENTIATION")</f>
        <v>GOBP_DENDRITIC_CELL_DIFFERENTIATION</v>
      </c>
      <c r="C402" s="4">
        <v>42</v>
      </c>
      <c r="D402" s="3">
        <v>1.9783866000000001</v>
      </c>
      <c r="E402" s="1">
        <v>0</v>
      </c>
      <c r="F402" s="2">
        <v>1.1401132E-3</v>
      </c>
    </row>
    <row r="403" spans="1:6" x14ac:dyDescent="0.25">
      <c r="A403" t="s">
        <v>8</v>
      </c>
      <c r="B403" s="5" t="str">
        <f>HYPERLINK("http://www.broadinstitute.org/gsea/msigdb/cards/GOMF_CELL_ADHESION_MOLECULE_BINDING.html","GOMF_CELL_ADHESION_MOLECULE_BINDING")</f>
        <v>GOMF_CELL_ADHESION_MOLECULE_BINDING</v>
      </c>
      <c r="C403" s="4">
        <v>301</v>
      </c>
      <c r="D403" s="3">
        <v>1.9781226000000001</v>
      </c>
      <c r="E403" s="1">
        <v>0</v>
      </c>
      <c r="F403" s="2">
        <v>1.1453050000000001E-3</v>
      </c>
    </row>
    <row r="404" spans="1:6" x14ac:dyDescent="0.25">
      <c r="A404" t="s">
        <v>6</v>
      </c>
      <c r="B404" s="5" t="str">
        <f>HYPERLINK("http://www.broadinstitute.org/gsea/msigdb/cards/GOBP_POSITIVE_REGULATION_OF_EPITHELIAL_CELL_MIGRATION.html","GOBP_POSITIVE_REGULATION_OF_EPITHELIAL_CELL_MIGRATION")</f>
        <v>GOBP_POSITIVE_REGULATION_OF_EPITHELIAL_CELL_MIGRATION</v>
      </c>
      <c r="C404" s="4">
        <v>161</v>
      </c>
      <c r="D404" s="3">
        <v>1.9778344999999999</v>
      </c>
      <c r="E404" s="1">
        <v>0</v>
      </c>
      <c r="F404" s="2">
        <v>1.1532904999999999E-3</v>
      </c>
    </row>
    <row r="405" spans="1:6" x14ac:dyDescent="0.25">
      <c r="A405" t="s">
        <v>8</v>
      </c>
      <c r="B405" s="5" t="str">
        <f>HYPERLINK("http://www.broadinstitute.org/gsea/msigdb/cards/GOMF_MHC_PROTEIN_BINDING.html","GOMF_MHC_PROTEIN_BINDING")</f>
        <v>GOMF_MHC_PROTEIN_BINDING</v>
      </c>
      <c r="C405" s="4">
        <v>43</v>
      </c>
      <c r="D405" s="3">
        <v>1.9772319</v>
      </c>
      <c r="E405" s="1">
        <v>0</v>
      </c>
      <c r="F405" s="2">
        <v>1.1719511999999999E-3</v>
      </c>
    </row>
    <row r="406" spans="1:6" x14ac:dyDescent="0.25">
      <c r="A406" t="s">
        <v>5</v>
      </c>
      <c r="B406" s="5" t="str">
        <f>HYPERLINK("http://www.broadinstitute.org/gsea/msigdb/cards/BIOCARTA_CCR5_PATHWAY.html","BIOCARTA_CCR5_PATHWAY")</f>
        <v>BIOCARTA_CCR5_PATHWAY</v>
      </c>
      <c r="C406" s="4">
        <v>16</v>
      </c>
      <c r="D406" s="3">
        <v>1.9772208</v>
      </c>
      <c r="E406" s="1">
        <v>0</v>
      </c>
      <c r="F406" s="2">
        <v>1.1690431000000001E-3</v>
      </c>
    </row>
    <row r="407" spans="1:6" x14ac:dyDescent="0.25">
      <c r="A407" t="s">
        <v>6</v>
      </c>
      <c r="B407" s="5" t="str">
        <f>HYPERLINK("http://www.broadinstitute.org/gsea/msigdb/cards/GOBP_REGULATION_OF_BIOLOGICAL_PROCESS_INVOLVED_IN_SYMBIOTIC_INTERACTION.html","GOBP_REGULATION_OF_BIOLOGICAL_PROCESS_INVOLVED_IN_SYMBIOTIC_INTERACTION")</f>
        <v>GOBP_REGULATION_OF_BIOLOGICAL_PROCESS_INVOLVED_IN_SYMBIOTIC_INTERACTION</v>
      </c>
      <c r="C407" s="4">
        <v>61</v>
      </c>
      <c r="D407" s="3">
        <v>1.9764633</v>
      </c>
      <c r="E407" s="1">
        <v>0</v>
      </c>
      <c r="F407" s="2">
        <v>1.1794927000000001E-3</v>
      </c>
    </row>
    <row r="408" spans="1:6" x14ac:dyDescent="0.25">
      <c r="A408" t="s">
        <v>7</v>
      </c>
      <c r="B408" s="5" t="str">
        <f>HYPERLINK("http://www.broadinstitute.org/gsea/msigdb/cards/GOCC_EARLY_ENDOSOME_MEMBRANE.html","GOCC_EARLY_ENDOSOME_MEMBRANE")</f>
        <v>GOCC_EARLY_ENDOSOME_MEMBRANE</v>
      </c>
      <c r="C408" s="4">
        <v>97</v>
      </c>
      <c r="D408" s="3">
        <v>1.9756407</v>
      </c>
      <c r="E408" s="1">
        <v>0</v>
      </c>
      <c r="F408" s="2">
        <v>1.1873037E-3</v>
      </c>
    </row>
    <row r="409" spans="1:6" x14ac:dyDescent="0.25">
      <c r="A409" t="s">
        <v>5</v>
      </c>
      <c r="B409" s="5" t="str">
        <f>HYPERLINK("http://www.broadinstitute.org/gsea/msigdb/cards/BIOCARTA_NKT_PATHWAY.html","BIOCARTA_NKT_PATHWAY")</f>
        <v>BIOCARTA_NKT_PATHWAY</v>
      </c>
      <c r="C409" s="4">
        <v>27</v>
      </c>
      <c r="D409" s="3">
        <v>1.9751589000000001</v>
      </c>
      <c r="E409" s="1">
        <v>0</v>
      </c>
      <c r="F409" s="2">
        <v>1.1896838E-3</v>
      </c>
    </row>
    <row r="410" spans="1:6" x14ac:dyDescent="0.25">
      <c r="A410" t="s">
        <v>6</v>
      </c>
      <c r="B410" s="5" t="str">
        <f>HYPERLINK("http://www.broadinstitute.org/gsea/msigdb/cards/GOBP_B_CELL_DIFFERENTIATION.html","GOBP_B_CELL_DIFFERENTIATION")</f>
        <v>GOBP_B_CELL_DIFFERENTIATION</v>
      </c>
      <c r="C410" s="4">
        <v>151</v>
      </c>
      <c r="D410" s="3">
        <v>1.9750304000000001</v>
      </c>
      <c r="E410" s="1">
        <v>0</v>
      </c>
      <c r="F410" s="2">
        <v>1.1894449000000001E-3</v>
      </c>
    </row>
    <row r="411" spans="1:6" x14ac:dyDescent="0.25">
      <c r="A411" t="s">
        <v>6</v>
      </c>
      <c r="B411" s="5" t="str">
        <f>HYPERLINK("http://www.broadinstitute.org/gsea/msigdb/cards/GOBP_NEGATIVE_REGULATION_OF_INTERLEUKIN_10_PRODUCTION.html","GOBP_NEGATIVE_REGULATION_OF_INTERLEUKIN_10_PRODUCTION")</f>
        <v>GOBP_NEGATIVE_REGULATION_OF_INTERLEUKIN_10_PRODUCTION</v>
      </c>
      <c r="C411" s="4">
        <v>20</v>
      </c>
      <c r="D411" s="3">
        <v>1.9742199</v>
      </c>
      <c r="E411" s="1">
        <v>1.7857143E-3</v>
      </c>
      <c r="F411" s="2">
        <v>1.1997732E-3</v>
      </c>
    </row>
    <row r="412" spans="1:6" x14ac:dyDescent="0.25">
      <c r="A412" t="s">
        <v>6</v>
      </c>
      <c r="B412" s="5" t="str">
        <f>HYPERLINK("http://www.broadinstitute.org/gsea/msigdb/cards/GOBP_LYMPHOCYTE_ACTIVATION_INVOLVED_IN_IMMUNE_RESPONSE.html","GOBP_LYMPHOCYTE_ACTIVATION_INVOLVED_IN_IMMUNE_RESPONSE")</f>
        <v>GOBP_LYMPHOCYTE_ACTIVATION_INVOLVED_IN_IMMUNE_RESPONSE</v>
      </c>
      <c r="C412" s="4">
        <v>199</v>
      </c>
      <c r="D412" s="3">
        <v>1.9734715</v>
      </c>
      <c r="E412" s="1">
        <v>0</v>
      </c>
      <c r="F412" s="2">
        <v>1.2100731999999999E-3</v>
      </c>
    </row>
    <row r="413" spans="1:6" x14ac:dyDescent="0.25">
      <c r="A413" t="s">
        <v>8</v>
      </c>
      <c r="B413" s="5" t="str">
        <f>HYPERLINK("http://www.broadinstitute.org/gsea/msigdb/cards/GOMF_UDP_GLYCOSYLTRANSFERASE_ACTIVITY.html","GOMF_UDP_GLYCOSYLTRANSFERASE_ACTIVITY")</f>
        <v>GOMF_UDP_GLYCOSYLTRANSFERASE_ACTIVITY</v>
      </c>
      <c r="C413" s="4">
        <v>136</v>
      </c>
      <c r="D413" s="3">
        <v>1.9733319</v>
      </c>
      <c r="E413" s="1">
        <v>0</v>
      </c>
      <c r="F413" s="2">
        <v>1.2071219999999999E-3</v>
      </c>
    </row>
    <row r="414" spans="1:6" x14ac:dyDescent="0.25">
      <c r="A414" t="s">
        <v>6</v>
      </c>
      <c r="B414" s="5" t="str">
        <f>HYPERLINK("http://www.broadinstitute.org/gsea/msigdb/cards/GOBP_REGULATION_OF_DNA_TEMPLATED_TRANSCRIPTION_IN_RESPONSE_TO_STRESS.html","GOBP_REGULATION_OF_DNA_TEMPLATED_TRANSCRIPTION_IN_RESPONSE_TO_STRESS")</f>
        <v>GOBP_REGULATION_OF_DNA_TEMPLATED_TRANSCRIPTION_IN_RESPONSE_TO_STRESS</v>
      </c>
      <c r="C414" s="4">
        <v>42</v>
      </c>
      <c r="D414" s="3">
        <v>1.9726539999999999</v>
      </c>
      <c r="E414" s="1">
        <v>0</v>
      </c>
      <c r="F414" s="2">
        <v>1.2120769E-3</v>
      </c>
    </row>
    <row r="415" spans="1:6" x14ac:dyDescent="0.25">
      <c r="A415" t="s">
        <v>11</v>
      </c>
      <c r="B415" s="5" t="str">
        <f>HYPERLINK("http://www.broadinstitute.org/gsea/msigdb/cards/WP_FOCAL_ADHESION_PI3K_AKT_MTOR_SIGNALING_PATHWAY.html","WP_FOCAL_ADHESION_PI3K_AKT_MTOR_SIGNALING_PATHWAY")</f>
        <v>WP_FOCAL_ADHESION_PI3K_AKT_MTOR_SIGNALING_PATHWAY</v>
      </c>
      <c r="C415" s="4">
        <v>299</v>
      </c>
      <c r="D415" s="3">
        <v>1.9725146</v>
      </c>
      <c r="E415" s="1">
        <v>0</v>
      </c>
      <c r="F415" s="2">
        <v>1.2091349E-3</v>
      </c>
    </row>
    <row r="416" spans="1:6" x14ac:dyDescent="0.25">
      <c r="A416" t="s">
        <v>6</v>
      </c>
      <c r="B416" s="5" t="str">
        <f>HYPERLINK("http://www.broadinstitute.org/gsea/msigdb/cards/GOBP_REGULATION_OF_BONE_RESORPTION.html","GOBP_REGULATION_OF_BONE_RESORPTION")</f>
        <v>GOBP_REGULATION_OF_BONE_RESORPTION</v>
      </c>
      <c r="C416" s="4">
        <v>50</v>
      </c>
      <c r="D416" s="3">
        <v>1.9709752</v>
      </c>
      <c r="E416" s="1">
        <v>0</v>
      </c>
      <c r="F416" s="2">
        <v>1.2324331E-3</v>
      </c>
    </row>
    <row r="417" spans="1:6" x14ac:dyDescent="0.25">
      <c r="A417" t="s">
        <v>6</v>
      </c>
      <c r="B417" s="5" t="str">
        <f>HYPERLINK("http://www.broadinstitute.org/gsea/msigdb/cards/GOBP_CANONICAL_NF_KAPPAB_SIGNAL_TRANSDUCTION.html","GOBP_CANONICAL_NF_KAPPAB_SIGNAL_TRANSDUCTION")</f>
        <v>GOBP_CANONICAL_NF_KAPPAB_SIGNAL_TRANSDUCTION</v>
      </c>
      <c r="C417" s="4">
        <v>243</v>
      </c>
      <c r="D417" s="3">
        <v>1.9705665999999999</v>
      </c>
      <c r="E417" s="1">
        <v>0</v>
      </c>
      <c r="F417" s="2">
        <v>1.2320535000000001E-3</v>
      </c>
    </row>
    <row r="418" spans="1:6" x14ac:dyDescent="0.25">
      <c r="A418" t="s">
        <v>10</v>
      </c>
      <c r="B418" s="5" t="str">
        <f>HYPERLINK("http://www.broadinstitute.org/gsea/msigdb/cards/REACTOME_INTERFERON_ALPHA_BETA_SIGNALING.html","REACTOME_INTERFERON_ALPHA_BETA_SIGNALING")</f>
        <v>REACTOME_INTERFERON_ALPHA_BETA_SIGNALING</v>
      </c>
      <c r="C418" s="4">
        <v>21</v>
      </c>
      <c r="D418" s="3">
        <v>1.9705638999999999</v>
      </c>
      <c r="E418" s="1">
        <v>0</v>
      </c>
      <c r="F418" s="2">
        <v>1.2290847000000001E-3</v>
      </c>
    </row>
    <row r="419" spans="1:6" x14ac:dyDescent="0.25">
      <c r="A419" t="s">
        <v>11</v>
      </c>
      <c r="B419" s="5" t="str">
        <f>HYPERLINK("http://www.broadinstitute.org/gsea/msigdb/cards/WP_SPINAL_CORD_INJURY.html","WP_SPINAL_CORD_INJURY")</f>
        <v>WP_SPINAL_CORD_INJURY</v>
      </c>
      <c r="C419" s="4">
        <v>97</v>
      </c>
      <c r="D419" s="3">
        <v>1.9701995000000001</v>
      </c>
      <c r="E419" s="1">
        <v>0</v>
      </c>
      <c r="F419" s="2">
        <v>1.2313602E-3</v>
      </c>
    </row>
    <row r="420" spans="1:6" x14ac:dyDescent="0.25">
      <c r="A420" t="s">
        <v>6</v>
      </c>
      <c r="B420" s="5" t="str">
        <f>HYPERLINK("http://www.broadinstitute.org/gsea/msigdb/cards/GOBP_RECEPTOR_SIGNALING_PATHWAY_VIA_STAT.html","GOBP_RECEPTOR_SIGNALING_PATHWAY_VIA_STAT")</f>
        <v>GOBP_RECEPTOR_SIGNALING_PATHWAY_VIA_STAT</v>
      </c>
      <c r="C420" s="4">
        <v>169</v>
      </c>
      <c r="D420" s="3">
        <v>1.9695750000000001</v>
      </c>
      <c r="E420" s="1">
        <v>0</v>
      </c>
      <c r="F420" s="2">
        <v>1.2361776E-3</v>
      </c>
    </row>
    <row r="421" spans="1:6" x14ac:dyDescent="0.25">
      <c r="A421" t="s">
        <v>7</v>
      </c>
      <c r="B421" s="5" t="str">
        <f>HYPERLINK("http://www.broadinstitute.org/gsea/msigdb/cards/GOCC_GOLGI_MEMBRANE.html","GOCC_GOLGI_MEMBRANE")</f>
        <v>GOCC_GOLGI_MEMBRANE</v>
      </c>
      <c r="C421" s="4">
        <v>254</v>
      </c>
      <c r="D421" s="3">
        <v>1.9688201000000001</v>
      </c>
      <c r="E421" s="1">
        <v>0</v>
      </c>
      <c r="F421" s="2">
        <v>1.2487468000000001E-3</v>
      </c>
    </row>
    <row r="422" spans="1:6" x14ac:dyDescent="0.25">
      <c r="A422" t="s">
        <v>7</v>
      </c>
      <c r="B422" s="5" t="str">
        <f>HYPERLINK("http://www.broadinstitute.org/gsea/msigdb/cards/GOCC_MHC_PROTEIN_COMPLEX.html","GOCC_MHC_PROTEIN_COMPLEX")</f>
        <v>GOCC_MHC_PROTEIN_COMPLEX</v>
      </c>
      <c r="C422" s="4">
        <v>27</v>
      </c>
      <c r="D422" s="3">
        <v>1.9670932999999999</v>
      </c>
      <c r="E422" s="1">
        <v>0</v>
      </c>
      <c r="F422" s="2">
        <v>1.2793379000000001E-3</v>
      </c>
    </row>
    <row r="423" spans="1:6" x14ac:dyDescent="0.25">
      <c r="A423" t="s">
        <v>6</v>
      </c>
      <c r="B423" s="5" t="str">
        <f>HYPERLINK("http://www.broadinstitute.org/gsea/msigdb/cards/GOBP_INTERLEUKIN_1_MEDIATED_SIGNALING_PATHWAY.html","GOBP_INTERLEUKIN_1_MEDIATED_SIGNALING_PATHWAY")</f>
        <v>GOBP_INTERLEUKIN_1_MEDIATED_SIGNALING_PATHWAY</v>
      </c>
      <c r="C423" s="4">
        <v>27</v>
      </c>
      <c r="D423" s="3">
        <v>1.9668983</v>
      </c>
      <c r="E423" s="1">
        <v>0</v>
      </c>
      <c r="F423" s="2">
        <v>1.2762918E-3</v>
      </c>
    </row>
    <row r="424" spans="1:6" x14ac:dyDescent="0.25">
      <c r="A424" t="s">
        <v>6</v>
      </c>
      <c r="B424" s="5" t="str">
        <f>HYPERLINK("http://www.broadinstitute.org/gsea/msigdb/cards/GOBP_DENDRITIC_CELL_CYTOKINE_PRODUCTION.html","GOBP_DENDRITIC_CELL_CYTOKINE_PRODUCTION")</f>
        <v>GOBP_DENDRITIC_CELL_CYTOKINE_PRODUCTION</v>
      </c>
      <c r="C424" s="4">
        <v>19</v>
      </c>
      <c r="D424" s="3">
        <v>1.9654933999999999</v>
      </c>
      <c r="E424" s="1">
        <v>0</v>
      </c>
      <c r="F424" s="2">
        <v>1.3066827E-3</v>
      </c>
    </row>
    <row r="425" spans="1:6" x14ac:dyDescent="0.25">
      <c r="A425" t="s">
        <v>6</v>
      </c>
      <c r="B425" s="5" t="str">
        <f>HYPERLINK("http://www.broadinstitute.org/gsea/msigdb/cards/GOBP_POSITIVE_REGULATION_OF_INTERFERON_BETA_PRODUCTION.html","GOBP_POSITIVE_REGULATION_OF_INTERFERON_BETA_PRODUCTION")</f>
        <v>GOBP_POSITIVE_REGULATION_OF_INTERFERON_BETA_PRODUCTION</v>
      </c>
      <c r="C425" s="4">
        <v>51</v>
      </c>
      <c r="D425" s="3">
        <v>1.9652082</v>
      </c>
      <c r="E425" s="1">
        <v>0</v>
      </c>
      <c r="F425" s="2">
        <v>1.3035862999999999E-3</v>
      </c>
    </row>
    <row r="426" spans="1:6" x14ac:dyDescent="0.25">
      <c r="A426" t="s">
        <v>6</v>
      </c>
      <c r="B426" s="5" t="str">
        <f>HYPERLINK("http://www.broadinstitute.org/gsea/msigdb/cards/GOBP_POSITIVE_REGULATION_OF_INTERLEUKIN_2_PRODUCTION.html","GOBP_POSITIVE_REGULATION_OF_INTERLEUKIN_2_PRODUCTION")</f>
        <v>GOBP_POSITIVE_REGULATION_OF_INTERLEUKIN_2_PRODUCTION</v>
      </c>
      <c r="C426" s="4">
        <v>41</v>
      </c>
      <c r="D426" s="3">
        <v>1.9647028</v>
      </c>
      <c r="E426" s="1">
        <v>0</v>
      </c>
      <c r="F426" s="2">
        <v>1.3056630999999999E-3</v>
      </c>
    </row>
    <row r="427" spans="1:6" x14ac:dyDescent="0.25">
      <c r="A427" t="s">
        <v>6</v>
      </c>
      <c r="B427" s="5" t="str">
        <f>HYPERLINK("http://www.broadinstitute.org/gsea/msigdb/cards/GOBP_NEGATIVE_REGULATION_OF_ACTIVATED_T_CELL_PROLIFERATION.html","GOBP_NEGATIVE_REGULATION_OF_ACTIVATED_T_CELL_PROLIFERATION")</f>
        <v>GOBP_NEGATIVE_REGULATION_OF_ACTIVATED_T_CELL_PROLIFERATION</v>
      </c>
      <c r="C427" s="4">
        <v>16</v>
      </c>
      <c r="D427" s="3">
        <v>1.9622204000000001</v>
      </c>
      <c r="E427" s="1">
        <v>0</v>
      </c>
      <c r="F427" s="2">
        <v>1.3357747999999999E-3</v>
      </c>
    </row>
    <row r="428" spans="1:6" x14ac:dyDescent="0.25">
      <c r="A428" t="s">
        <v>6</v>
      </c>
      <c r="B428" s="5" t="str">
        <f>HYPERLINK("http://www.broadinstitute.org/gsea/msigdb/cards/GOBP_REGULATION_OF_NATURAL_KILLER_CELL_MEDIATED_IMMUNITY.html","GOBP_REGULATION_OF_NATURAL_KILLER_CELL_MEDIATED_IMMUNITY")</f>
        <v>GOBP_REGULATION_OF_NATURAL_KILLER_CELL_MEDIATED_IMMUNITY</v>
      </c>
      <c r="C428" s="4">
        <v>70</v>
      </c>
      <c r="D428" s="3">
        <v>1.9620660000000001</v>
      </c>
      <c r="E428" s="1">
        <v>0</v>
      </c>
      <c r="F428" s="2">
        <v>1.3351738000000001E-3</v>
      </c>
    </row>
    <row r="429" spans="1:6" x14ac:dyDescent="0.25">
      <c r="A429" t="s">
        <v>8</v>
      </c>
      <c r="B429" s="5" t="str">
        <f>HYPERLINK("http://www.broadinstitute.org/gsea/msigdb/cards/GOMF_SERINE_HYDROLASE_ACTIVITY.html","GOMF_SERINE_HYDROLASE_ACTIVITY")</f>
        <v>GOMF_SERINE_HYDROLASE_ACTIVITY</v>
      </c>
      <c r="C429" s="4">
        <v>183</v>
      </c>
      <c r="D429" s="3">
        <v>1.9613212</v>
      </c>
      <c r="E429" s="1">
        <v>0</v>
      </c>
      <c r="F429" s="2">
        <v>1.3473043E-3</v>
      </c>
    </row>
    <row r="430" spans="1:6" x14ac:dyDescent="0.25">
      <c r="A430" t="s">
        <v>6</v>
      </c>
      <c r="B430" s="5" t="str">
        <f>HYPERLINK("http://www.broadinstitute.org/gsea/msigdb/cards/GOBP_VASCULAR_PROCESS_IN_CIRCULATORY_SYSTEM.html","GOBP_VASCULAR_PROCESS_IN_CIRCULATORY_SYSTEM")</f>
        <v>GOBP_VASCULAR_PROCESS_IN_CIRCULATORY_SYSTEM</v>
      </c>
      <c r="C430" s="4">
        <v>243</v>
      </c>
      <c r="D430" s="3">
        <v>1.9604900999999999</v>
      </c>
      <c r="E430" s="1">
        <v>0</v>
      </c>
      <c r="F430" s="2">
        <v>1.3619188E-3</v>
      </c>
    </row>
    <row r="431" spans="1:6" x14ac:dyDescent="0.25">
      <c r="A431" t="s">
        <v>6</v>
      </c>
      <c r="B431" s="5" t="str">
        <f>HYPERLINK("http://www.broadinstitute.org/gsea/msigdb/cards/GOBP_NEGATIVE_REGULATION_OF_TISSUE_REMODELING.html","GOBP_NEGATIVE_REGULATION_OF_TISSUE_REMODELING")</f>
        <v>GOBP_NEGATIVE_REGULATION_OF_TISSUE_REMODELING</v>
      </c>
      <c r="C431" s="4">
        <v>26</v>
      </c>
      <c r="D431" s="3">
        <v>1.960488</v>
      </c>
      <c r="E431" s="1">
        <v>0</v>
      </c>
      <c r="F431" s="2">
        <v>1.3587367E-3</v>
      </c>
    </row>
    <row r="432" spans="1:6" x14ac:dyDescent="0.25">
      <c r="A432" t="s">
        <v>6</v>
      </c>
      <c r="B432" s="5" t="str">
        <f>HYPERLINK("http://www.broadinstitute.org/gsea/msigdb/cards/GOBP_NEGATIVE_REGULATION_OF_ENDOTHELIAL_CELL_PROLIFERATION.html","GOBP_NEGATIVE_REGULATION_OF_ENDOTHELIAL_CELL_PROLIFERATION")</f>
        <v>GOBP_NEGATIVE_REGULATION_OF_ENDOTHELIAL_CELL_PROLIFERATION</v>
      </c>
      <c r="C432" s="4">
        <v>46</v>
      </c>
      <c r="D432" s="3">
        <v>1.9601071999999999</v>
      </c>
      <c r="E432" s="1">
        <v>0</v>
      </c>
      <c r="F432" s="2">
        <v>1.3580847999999999E-3</v>
      </c>
    </row>
    <row r="433" spans="1:6" x14ac:dyDescent="0.25">
      <c r="A433" t="s">
        <v>6</v>
      </c>
      <c r="B433" s="5" t="str">
        <f>HYPERLINK("http://www.broadinstitute.org/gsea/msigdb/cards/GOBP_POSITIVE_REGULATION_OF_BLOOD_VESSEL_ENDOTHELIAL_CELL_MIGRATION.html","GOBP_POSITIVE_REGULATION_OF_BLOOD_VESSEL_ENDOTHELIAL_CELL_MIGRATION")</f>
        <v>GOBP_POSITIVE_REGULATION_OF_BLOOD_VESSEL_ENDOTHELIAL_CELL_MIGRATION</v>
      </c>
      <c r="C433" s="4">
        <v>57</v>
      </c>
      <c r="D433" s="3">
        <v>1.9589259999999999</v>
      </c>
      <c r="E433" s="1">
        <v>0</v>
      </c>
      <c r="F433" s="2">
        <v>1.3826131E-3</v>
      </c>
    </row>
    <row r="434" spans="1:6" x14ac:dyDescent="0.25">
      <c r="A434" t="s">
        <v>6</v>
      </c>
      <c r="B434" s="5" t="str">
        <f>HYPERLINK("http://www.broadinstitute.org/gsea/msigdb/cards/GOBP_GLYCOPROTEIN_CATABOLIC_PROCESS.html","GOBP_GLYCOPROTEIN_CATABOLIC_PROCESS")</f>
        <v>GOBP_GLYCOPROTEIN_CATABOLIC_PROCESS</v>
      </c>
      <c r="C434" s="4">
        <v>31</v>
      </c>
      <c r="D434" s="3">
        <v>1.9584851000000001</v>
      </c>
      <c r="E434" s="1">
        <v>0</v>
      </c>
      <c r="F434" s="2">
        <v>1.3844247E-3</v>
      </c>
    </row>
    <row r="435" spans="1:6" x14ac:dyDescent="0.25">
      <c r="A435" t="s">
        <v>11</v>
      </c>
      <c r="B435" s="5" t="str">
        <f>HYPERLINK("http://www.broadinstitute.org/gsea/msigdb/cards/WP_TOLL_LIKE_RECEPTOR_SIGNALING.html","WP_TOLL_LIKE_RECEPTOR_SIGNALING")</f>
        <v>WP_TOLL_LIKE_RECEPTOR_SIGNALING</v>
      </c>
      <c r="C435" s="4">
        <v>32</v>
      </c>
      <c r="D435" s="3">
        <v>1.9572000000000001</v>
      </c>
      <c r="E435" s="1">
        <v>0</v>
      </c>
      <c r="F435" s="2">
        <v>1.4111759000000001E-3</v>
      </c>
    </row>
    <row r="436" spans="1:6" x14ac:dyDescent="0.25">
      <c r="A436" t="s">
        <v>6</v>
      </c>
      <c r="B436" s="5" t="str">
        <f>HYPERLINK("http://www.broadinstitute.org/gsea/msigdb/cards/GOBP_ERK1_AND_ERK2_CASCADE.html","GOBP_ERK1_AND_ERK2_CASCADE")</f>
        <v>GOBP_ERK1_AND_ERK2_CASCADE</v>
      </c>
      <c r="C436" s="4">
        <v>348</v>
      </c>
      <c r="D436" s="3">
        <v>1.9567751</v>
      </c>
      <c r="E436" s="1">
        <v>0</v>
      </c>
      <c r="F436" s="2">
        <v>1.417906E-3</v>
      </c>
    </row>
    <row r="437" spans="1:6" x14ac:dyDescent="0.25">
      <c r="A437" t="s">
        <v>6</v>
      </c>
      <c r="B437" s="5" t="str">
        <f>HYPERLINK("http://www.broadinstitute.org/gsea/msigdb/cards/GOBP_LEUKOCYTE_HOMEOSTASIS.html","GOBP_LEUKOCYTE_HOMEOSTASIS")</f>
        <v>GOBP_LEUKOCYTE_HOMEOSTASIS</v>
      </c>
      <c r="C437" s="4">
        <v>139</v>
      </c>
      <c r="D437" s="3">
        <v>1.9566691</v>
      </c>
      <c r="E437" s="1">
        <v>0</v>
      </c>
      <c r="F437" s="2">
        <v>1.4146390000000001E-3</v>
      </c>
    </row>
    <row r="438" spans="1:6" x14ac:dyDescent="0.25">
      <c r="A438" t="s">
        <v>6</v>
      </c>
      <c r="B438" s="5" t="str">
        <f>HYPERLINK("http://www.broadinstitute.org/gsea/msigdb/cards/GOBP_CELL_MIGRATION_INVOLVED_IN_SPROUTING_ANGIOGENESIS.html","GOBP_CELL_MIGRATION_INVOLVED_IN_SPROUTING_ANGIOGENESIS")</f>
        <v>GOBP_CELL_MIGRATION_INVOLVED_IN_SPROUTING_ANGIOGENESIS</v>
      </c>
      <c r="C438" s="4">
        <v>54</v>
      </c>
      <c r="D438" s="3">
        <v>1.9563634000000001</v>
      </c>
      <c r="E438" s="1">
        <v>0</v>
      </c>
      <c r="F438" s="2">
        <v>1.4287811000000001E-3</v>
      </c>
    </row>
    <row r="439" spans="1:6" x14ac:dyDescent="0.25">
      <c r="A439" t="s">
        <v>6</v>
      </c>
      <c r="B439" s="5" t="str">
        <f>HYPERLINK("http://www.broadinstitute.org/gsea/msigdb/cards/GOBP_GLYCOPROTEIN_METABOLIC_PROCESS.html","GOBP_GLYCOPROTEIN_METABOLIC_PROCESS")</f>
        <v>GOBP_GLYCOPROTEIN_METABOLIC_PROCESS</v>
      </c>
      <c r="C439" s="4">
        <v>340</v>
      </c>
      <c r="D439" s="3">
        <v>1.9563272</v>
      </c>
      <c r="E439" s="1">
        <v>0</v>
      </c>
      <c r="F439" s="2">
        <v>1.4255041E-3</v>
      </c>
    </row>
    <row r="440" spans="1:6" x14ac:dyDescent="0.25">
      <c r="A440" t="s">
        <v>6</v>
      </c>
      <c r="B440" s="5" t="str">
        <f>HYPERLINK("http://www.broadinstitute.org/gsea/msigdb/cards/GOBP_MAST_CELL_MIGRATION.html","GOBP_MAST_CELL_MIGRATION")</f>
        <v>GOBP_MAST_CELL_MIGRATION</v>
      </c>
      <c r="C440" s="4">
        <v>17</v>
      </c>
      <c r="D440" s="3">
        <v>1.9549217999999999</v>
      </c>
      <c r="E440" s="1">
        <v>0</v>
      </c>
      <c r="F440" s="2">
        <v>1.4544199000000001E-3</v>
      </c>
    </row>
    <row r="441" spans="1:6" x14ac:dyDescent="0.25">
      <c r="A441" t="s">
        <v>8</v>
      </c>
      <c r="B441" s="5" t="str">
        <f>HYPERLINK("http://www.broadinstitute.org/gsea/msigdb/cards/GOMF_IMMUNOGLOBULIN_BINDING.html","GOMF_IMMUNOGLOBULIN_BINDING")</f>
        <v>GOMF_IMMUNOGLOBULIN_BINDING</v>
      </c>
      <c r="C441" s="4">
        <v>23</v>
      </c>
      <c r="D441" s="3">
        <v>1.9548975</v>
      </c>
      <c r="E441" s="1">
        <v>0</v>
      </c>
      <c r="F441" s="2">
        <v>1.4535524E-3</v>
      </c>
    </row>
    <row r="442" spans="1:6" x14ac:dyDescent="0.25">
      <c r="A442" t="s">
        <v>11</v>
      </c>
      <c r="B442" s="5" t="str">
        <f>HYPERLINK("http://www.broadinstitute.org/gsea/msigdb/cards/WP_FOCAL_ADHESION.html","WP_FOCAL_ADHESION")</f>
        <v>WP_FOCAL_ADHESION</v>
      </c>
      <c r="C442" s="4">
        <v>185</v>
      </c>
      <c r="D442" s="3">
        <v>1.9548402</v>
      </c>
      <c r="E442" s="1">
        <v>0</v>
      </c>
      <c r="F442" s="2">
        <v>1.4502413E-3</v>
      </c>
    </row>
    <row r="443" spans="1:6" x14ac:dyDescent="0.25">
      <c r="A443" t="s">
        <v>6</v>
      </c>
      <c r="B443" s="5" t="str">
        <f>HYPERLINK("http://www.broadinstitute.org/gsea/msigdb/cards/GOBP_B_CELL_PROLIFERATION.html","GOBP_B_CELL_PROLIFERATION")</f>
        <v>GOBP_B_CELL_PROLIFERATION</v>
      </c>
      <c r="C443" s="4">
        <v>100</v>
      </c>
      <c r="D443" s="3">
        <v>1.9540629</v>
      </c>
      <c r="E443" s="1">
        <v>0</v>
      </c>
      <c r="F443" s="2">
        <v>1.4666608999999999E-3</v>
      </c>
    </row>
    <row r="444" spans="1:6" x14ac:dyDescent="0.25">
      <c r="A444" t="s">
        <v>8</v>
      </c>
      <c r="B444" s="5" t="str">
        <f>HYPERLINK("http://www.broadinstitute.org/gsea/msigdb/cards/GOMF_GALACTOSYLTRANSFERASE_ACTIVITY.html","GOMF_GALACTOSYLTRANSFERASE_ACTIVITY")</f>
        <v>GOMF_GALACTOSYLTRANSFERASE_ACTIVITY</v>
      </c>
      <c r="C444" s="4">
        <v>27</v>
      </c>
      <c r="D444" s="3">
        <v>1.9539431</v>
      </c>
      <c r="E444" s="1">
        <v>0</v>
      </c>
      <c r="F444" s="2">
        <v>1.4633351000000001E-3</v>
      </c>
    </row>
    <row r="445" spans="1:6" x14ac:dyDescent="0.25">
      <c r="A445" t="s">
        <v>6</v>
      </c>
      <c r="B445" s="5" t="str">
        <f>HYPERLINK("http://www.broadinstitute.org/gsea/msigdb/cards/GOBP_POSITIVE_REGULATION_OF_LYMPHOCYTE_ACTIVATION.html","GOBP_POSITIVE_REGULATION_OF_LYMPHOCYTE_ACTIVATION")</f>
        <v>GOBP_POSITIVE_REGULATION_OF_LYMPHOCYTE_ACTIVATION</v>
      </c>
      <c r="C445" s="4">
        <v>336</v>
      </c>
      <c r="D445" s="3">
        <v>1.9538671999999999</v>
      </c>
      <c r="E445" s="1">
        <v>0</v>
      </c>
      <c r="F445" s="2">
        <v>1.4624731E-3</v>
      </c>
    </row>
    <row r="446" spans="1:6" x14ac:dyDescent="0.25">
      <c r="A446" t="s">
        <v>6</v>
      </c>
      <c r="B446" s="5" t="str">
        <f>HYPERLINK("http://www.broadinstitute.org/gsea/msigdb/cards/GOBP_NEGATIVE_REGULATION_OF_LEUKOCYTE_MIGRATION.html","GOBP_NEGATIVE_REGULATION_OF_LEUKOCYTE_MIGRATION")</f>
        <v>GOBP_NEGATIVE_REGULATION_OF_LEUKOCYTE_MIGRATION</v>
      </c>
      <c r="C446" s="4">
        <v>43</v>
      </c>
      <c r="D446" s="3">
        <v>1.953193</v>
      </c>
      <c r="E446" s="1">
        <v>0</v>
      </c>
      <c r="F446" s="2">
        <v>1.4786951E-3</v>
      </c>
    </row>
    <row r="447" spans="1:6" x14ac:dyDescent="0.25">
      <c r="A447" t="s">
        <v>8</v>
      </c>
      <c r="B447" s="5" t="str">
        <f>HYPERLINK("http://www.broadinstitute.org/gsea/msigdb/cards/GOMF_PHOSPHATIDYLINOSITOL_4_PHOSPHATE_BINDING.html","GOMF_PHOSPHATIDYLINOSITOL_4_PHOSPHATE_BINDING")</f>
        <v>GOMF_PHOSPHATIDYLINOSITOL_4_PHOSPHATE_BINDING</v>
      </c>
      <c r="C447" s="4">
        <v>38</v>
      </c>
      <c r="D447" s="3">
        <v>1.9530474</v>
      </c>
      <c r="E447" s="1">
        <v>0</v>
      </c>
      <c r="F447" s="2">
        <v>1.4778483E-3</v>
      </c>
    </row>
    <row r="448" spans="1:6" x14ac:dyDescent="0.25">
      <c r="A448" t="s">
        <v>6</v>
      </c>
      <c r="B448" s="5" t="str">
        <f>HYPERLINK("http://www.broadinstitute.org/gsea/msigdb/cards/GOBP_POSITIVE_REGULATION_OF_MAP_KINASE_ACTIVITY.html","GOBP_POSITIVE_REGULATION_OF_MAP_KINASE_ACTIVITY")</f>
        <v>GOBP_POSITIVE_REGULATION_OF_MAP_KINASE_ACTIVITY</v>
      </c>
      <c r="C448" s="4">
        <v>129</v>
      </c>
      <c r="D448" s="3">
        <v>1.9527331999999999</v>
      </c>
      <c r="E448" s="1">
        <v>0</v>
      </c>
      <c r="F448" s="2">
        <v>1.4841934999999999E-3</v>
      </c>
    </row>
    <row r="449" spans="1:6" x14ac:dyDescent="0.25">
      <c r="A449" t="s">
        <v>6</v>
      </c>
      <c r="B449" s="5" t="str">
        <f>HYPERLINK("http://www.broadinstitute.org/gsea/msigdb/cards/GOBP_MYELOID_DENDRITIC_CELL_DIFFERENTIATION.html","GOBP_MYELOID_DENDRITIC_CELL_DIFFERENTIATION")</f>
        <v>GOBP_MYELOID_DENDRITIC_CELL_DIFFERENTIATION</v>
      </c>
      <c r="C449" s="4">
        <v>24</v>
      </c>
      <c r="D449" s="3">
        <v>1.9526749000000001</v>
      </c>
      <c r="E449" s="1">
        <v>0</v>
      </c>
      <c r="F449" s="2">
        <v>1.4808656E-3</v>
      </c>
    </row>
    <row r="450" spans="1:6" x14ac:dyDescent="0.25">
      <c r="A450" t="s">
        <v>6</v>
      </c>
      <c r="B450" s="5" t="str">
        <f>HYPERLINK("http://www.broadinstitute.org/gsea/msigdb/cards/GOBP_POSITIVE_REGULATION_OF_CELL_MIGRATION_INVOLVED_IN_SPROUTING_ANGIOGENESIS.html","GOBP_POSITIVE_REGULATION_OF_CELL_MIGRATION_INVOLVED_IN_SPROUTING_ANGIOGENESIS")</f>
        <v>GOBP_POSITIVE_REGULATION_OF_CELL_MIGRATION_INVOLVED_IN_SPROUTING_ANGIOGENESIS</v>
      </c>
      <c r="C450" s="4">
        <v>21</v>
      </c>
      <c r="D450" s="3">
        <v>1.9522892000000001</v>
      </c>
      <c r="E450" s="1">
        <v>0</v>
      </c>
      <c r="F450" s="2">
        <v>1.4896867000000001E-3</v>
      </c>
    </row>
    <row r="451" spans="1:6" x14ac:dyDescent="0.25">
      <c r="A451" t="s">
        <v>8</v>
      </c>
      <c r="B451" s="5" t="str">
        <f>HYPERLINK("http://www.broadinstitute.org/gsea/msigdb/cards/GOMF_HEXOSYLTRANSFERASE_ACTIVITY.html","GOMF_HEXOSYLTRANSFERASE_ACTIVITY")</f>
        <v>GOMF_HEXOSYLTRANSFERASE_ACTIVITY</v>
      </c>
      <c r="C451" s="4">
        <v>179</v>
      </c>
      <c r="D451" s="3">
        <v>1.9513488000000001</v>
      </c>
      <c r="E451" s="1">
        <v>0</v>
      </c>
      <c r="F451" s="2">
        <v>1.5105021E-3</v>
      </c>
    </row>
    <row r="452" spans="1:6" x14ac:dyDescent="0.25">
      <c r="A452" t="s">
        <v>6</v>
      </c>
      <c r="B452" s="5" t="str">
        <f>HYPERLINK("http://www.broadinstitute.org/gsea/msigdb/cards/GOBP_REGULATION_OF_CELL_ADHESION_MEDIATED_BY_INTEGRIN.html","GOBP_REGULATION_OF_CELL_ADHESION_MEDIATED_BY_INTEGRIN")</f>
        <v>GOBP_REGULATION_OF_CELL_ADHESION_MEDIATED_BY_INTEGRIN</v>
      </c>
      <c r="C452" s="4">
        <v>47</v>
      </c>
      <c r="D452" s="3">
        <v>1.951163</v>
      </c>
      <c r="E452" s="1">
        <v>0</v>
      </c>
      <c r="F452" s="2">
        <v>1.5143839000000001E-3</v>
      </c>
    </row>
    <row r="453" spans="1:6" x14ac:dyDescent="0.25">
      <c r="A453" t="s">
        <v>6</v>
      </c>
      <c r="B453" s="5" t="str">
        <f>HYPERLINK("http://www.broadinstitute.org/gsea/msigdb/cards/GOBP_B_CELL_ACTIVATION.html","GOBP_B_CELL_ACTIVATION")</f>
        <v>GOBP_B_CELL_ACTIVATION</v>
      </c>
      <c r="C453" s="4">
        <v>281</v>
      </c>
      <c r="D453" s="3">
        <v>1.9510791999999999</v>
      </c>
      <c r="E453" s="1">
        <v>0</v>
      </c>
      <c r="F453" s="2">
        <v>1.5158263E-3</v>
      </c>
    </row>
    <row r="454" spans="1:6" x14ac:dyDescent="0.25">
      <c r="A454" t="s">
        <v>6</v>
      </c>
      <c r="B454" s="5" t="str">
        <f>HYPERLINK("http://www.broadinstitute.org/gsea/msigdb/cards/GOBP_REGULATION_OF_CELL_CELL_ADHESION.html","GOBP_REGULATION_OF_CELL_CELL_ADHESION")</f>
        <v>GOBP_REGULATION_OF_CELL_CELL_ADHESION</v>
      </c>
      <c r="C454" s="4">
        <v>500</v>
      </c>
      <c r="D454" s="3">
        <v>1.9510753000000001</v>
      </c>
      <c r="E454" s="1">
        <v>0</v>
      </c>
      <c r="F454" s="2">
        <v>1.5124652E-3</v>
      </c>
    </row>
    <row r="455" spans="1:6" x14ac:dyDescent="0.25">
      <c r="A455" t="s">
        <v>6</v>
      </c>
      <c r="B455" s="5" t="str">
        <f>HYPERLINK("http://www.broadinstitute.org/gsea/msigdb/cards/GOBP_PLATELET_DERIVED_GROWTH_FACTOR_RECEPTOR_SIGNALING_PATHWAY.html","GOBP_PLATELET_DERIVED_GROWTH_FACTOR_RECEPTOR_SIGNALING_PATHWAY")</f>
        <v>GOBP_PLATELET_DERIVED_GROWTH_FACTOR_RECEPTOR_SIGNALING_PATHWAY</v>
      </c>
      <c r="C455" s="4">
        <v>63</v>
      </c>
      <c r="D455" s="3">
        <v>1.9509006</v>
      </c>
      <c r="E455" s="1">
        <v>0</v>
      </c>
      <c r="F455" s="2">
        <v>1.5115065000000001E-3</v>
      </c>
    </row>
    <row r="456" spans="1:6" x14ac:dyDescent="0.25">
      <c r="A456" t="s">
        <v>6</v>
      </c>
      <c r="B456" s="5" t="str">
        <f>HYPERLINK("http://www.broadinstitute.org/gsea/msigdb/cards/GOBP_REGULATION_OF_PATTERN_RECOGNITION_RECEPTOR_SIGNALING_PATHWAY.html","GOBP_REGULATION_OF_PATTERN_RECOGNITION_RECEPTOR_SIGNALING_PATHWAY")</f>
        <v>GOBP_REGULATION_OF_PATTERN_RECOGNITION_RECEPTOR_SIGNALING_PATHWAY</v>
      </c>
      <c r="C456" s="4">
        <v>135</v>
      </c>
      <c r="D456" s="3">
        <v>1.9492404000000001</v>
      </c>
      <c r="E456" s="1">
        <v>0</v>
      </c>
      <c r="F456" s="2">
        <v>1.5464668000000001E-3</v>
      </c>
    </row>
    <row r="457" spans="1:6" x14ac:dyDescent="0.25">
      <c r="A457" t="s">
        <v>6</v>
      </c>
      <c r="B457" s="5" t="str">
        <f>HYPERLINK("http://www.broadinstitute.org/gsea/msigdb/cards/GOBP_ESTROGEN_METABOLIC_PROCESS.html","GOBP_ESTROGEN_METABOLIC_PROCESS")</f>
        <v>GOBP_ESTROGEN_METABOLIC_PROCESS</v>
      </c>
      <c r="C457" s="4">
        <v>30</v>
      </c>
      <c r="D457" s="3">
        <v>1.9491849999999999</v>
      </c>
      <c r="E457" s="1">
        <v>1.6528926E-3</v>
      </c>
      <c r="F457" s="2">
        <v>1.5430604999999999E-3</v>
      </c>
    </row>
    <row r="458" spans="1:6" x14ac:dyDescent="0.25">
      <c r="A458" t="s">
        <v>6</v>
      </c>
      <c r="B458" s="5" t="str">
        <f>HYPERLINK("http://www.broadinstitute.org/gsea/msigdb/cards/GOBP_RECEPTOR_MEDIATED_ENDOCYTOSIS.html","GOBP_RECEPTOR_MEDIATED_ENDOCYTOSIS")</f>
        <v>GOBP_RECEPTOR_MEDIATED_ENDOCYTOSIS</v>
      </c>
      <c r="C458" s="4">
        <v>266</v>
      </c>
      <c r="D458" s="3">
        <v>1.9483674</v>
      </c>
      <c r="E458" s="1">
        <v>0</v>
      </c>
      <c r="F458" s="2">
        <v>1.5563112E-3</v>
      </c>
    </row>
    <row r="459" spans="1:6" x14ac:dyDescent="0.25">
      <c r="A459" t="s">
        <v>7</v>
      </c>
      <c r="B459" s="5" t="str">
        <f>HYPERLINK("http://www.broadinstitute.org/gsea/msigdb/cards/GOCC_ENDOSOME_MEMBRANE.html","GOCC_ENDOSOME_MEMBRANE")</f>
        <v>GOCC_ENDOSOME_MEMBRANE</v>
      </c>
      <c r="C459" s="4">
        <v>304</v>
      </c>
      <c r="D459" s="3">
        <v>1.9473889</v>
      </c>
      <c r="E459" s="1">
        <v>0</v>
      </c>
      <c r="F459" s="2">
        <v>1.5814073000000001E-3</v>
      </c>
    </row>
    <row r="460" spans="1:6" x14ac:dyDescent="0.25">
      <c r="A460" t="s">
        <v>6</v>
      </c>
      <c r="B460" s="5" t="str">
        <f>HYPERLINK("http://www.broadinstitute.org/gsea/msigdb/cards/GOBP_REGULATION_OF_T_CELL_RECEPTOR_SIGNALING_PATHWAY.html","GOBP_REGULATION_OF_T_CELL_RECEPTOR_SIGNALING_PATHWAY")</f>
        <v>GOBP_REGULATION_OF_T_CELL_RECEPTOR_SIGNALING_PATHWAY</v>
      </c>
      <c r="C460" s="4">
        <v>49</v>
      </c>
      <c r="D460" s="3">
        <v>1.9466326</v>
      </c>
      <c r="E460" s="1">
        <v>0</v>
      </c>
      <c r="F460" s="2">
        <v>1.5992662000000001E-3</v>
      </c>
    </row>
    <row r="461" spans="1:6" x14ac:dyDescent="0.25">
      <c r="A461" t="s">
        <v>6</v>
      </c>
      <c r="B461" s="5" t="str">
        <f>HYPERLINK("http://www.broadinstitute.org/gsea/msigdb/cards/GOBP_ACTIVATED_T_CELL_PROLIFERATION.html","GOBP_ACTIVATED_T_CELL_PROLIFERATION")</f>
        <v>GOBP_ACTIVATED_T_CELL_PROLIFERATION</v>
      </c>
      <c r="C461" s="4">
        <v>52</v>
      </c>
      <c r="D461" s="3">
        <v>1.9460455999999999</v>
      </c>
      <c r="E461" s="1">
        <v>0</v>
      </c>
      <c r="F461" s="2">
        <v>1.614617E-3</v>
      </c>
    </row>
    <row r="462" spans="1:6" x14ac:dyDescent="0.25">
      <c r="A462" t="s">
        <v>6</v>
      </c>
      <c r="B462" s="5" t="str">
        <f>HYPERLINK("http://www.broadinstitute.org/gsea/msigdb/cards/GOBP_NATURAL_KILLER_CELL_MEDIATED_IMMUNITY.html","GOBP_NATURAL_KILLER_CELL_MEDIATED_IMMUNITY")</f>
        <v>GOBP_NATURAL_KILLER_CELL_MEDIATED_IMMUNITY</v>
      </c>
      <c r="C462" s="4">
        <v>93</v>
      </c>
      <c r="D462" s="3">
        <v>1.9459434</v>
      </c>
      <c r="E462" s="1">
        <v>0</v>
      </c>
      <c r="F462" s="2">
        <v>1.6134761E-3</v>
      </c>
    </row>
    <row r="463" spans="1:6" x14ac:dyDescent="0.25">
      <c r="A463" t="s">
        <v>6</v>
      </c>
      <c r="B463" s="5" t="str">
        <f>HYPERLINK("http://www.broadinstitute.org/gsea/msigdb/cards/GOBP_REGULATION_OF_CD4_POSITIVE_ALPHA_BETA_T_CELL_ACTIVATION.html","GOBP_REGULATION_OF_CD4_POSITIVE_ALPHA_BETA_T_CELL_ACTIVATION")</f>
        <v>GOBP_REGULATION_OF_CD4_POSITIVE_ALPHA_BETA_T_CELL_ACTIVATION</v>
      </c>
      <c r="C463" s="4">
        <v>77</v>
      </c>
      <c r="D463" s="3">
        <v>1.9457332000000001</v>
      </c>
      <c r="E463" s="1">
        <v>0</v>
      </c>
      <c r="F463" s="2">
        <v>1.6123183000000001E-3</v>
      </c>
    </row>
    <row r="464" spans="1:6" x14ac:dyDescent="0.25">
      <c r="A464" t="s">
        <v>6</v>
      </c>
      <c r="B464" s="5" t="str">
        <f>HYPERLINK("http://www.broadinstitute.org/gsea/msigdb/cards/GOBP_REGULATION_OF_INFLAMMASOME_MEDIATED_SIGNALING_PATHWAY.html","GOBP_REGULATION_OF_INFLAMMASOME_MEDIATED_SIGNALING_PATHWAY")</f>
        <v>GOBP_REGULATION_OF_INFLAMMASOME_MEDIATED_SIGNALING_PATHWAY</v>
      </c>
      <c r="C464" s="4">
        <v>37</v>
      </c>
      <c r="D464" s="3">
        <v>1.9456952000000001</v>
      </c>
      <c r="E464" s="1">
        <v>0</v>
      </c>
      <c r="F464" s="2">
        <v>1.6134907E-3</v>
      </c>
    </row>
    <row r="465" spans="1:6" x14ac:dyDescent="0.25">
      <c r="A465" t="s">
        <v>6</v>
      </c>
      <c r="B465" s="5" t="str">
        <f>HYPERLINK("http://www.broadinstitute.org/gsea/msigdb/cards/GOBP_NEGATIVE_REGULATION_OF_CELL_ADHESION.html","GOBP_NEGATIVE_REGULATION_OF_CELL_ADHESION")</f>
        <v>GOBP_NEGATIVE_REGULATION_OF_CELL_ADHESION</v>
      </c>
      <c r="C465" s="4">
        <v>306</v>
      </c>
      <c r="D465" s="3">
        <v>1.9456530000000001</v>
      </c>
      <c r="E465" s="1">
        <v>0</v>
      </c>
      <c r="F465" s="2">
        <v>1.6099983E-3</v>
      </c>
    </row>
    <row r="466" spans="1:6" x14ac:dyDescent="0.25">
      <c r="A466" t="s">
        <v>8</v>
      </c>
      <c r="B466" s="5" t="str">
        <f>HYPERLINK("http://www.broadinstitute.org/gsea/msigdb/cards/GOMF_PEPTIDASE_REGULATOR_ACTIVITY.html","GOMF_PEPTIDASE_REGULATOR_ACTIVITY")</f>
        <v>GOMF_PEPTIDASE_REGULATOR_ACTIVITY</v>
      </c>
      <c r="C466" s="4">
        <v>223</v>
      </c>
      <c r="D466" s="3">
        <v>1.9454259</v>
      </c>
      <c r="E466" s="1">
        <v>0</v>
      </c>
      <c r="F466" s="2">
        <v>1.6112016E-3</v>
      </c>
    </row>
    <row r="467" spans="1:6" x14ac:dyDescent="0.25">
      <c r="A467" t="s">
        <v>6</v>
      </c>
      <c r="B467" s="5" t="str">
        <f>HYPERLINK("http://www.broadinstitute.org/gsea/msigdb/cards/GOBP_TOLERANCE_INDUCTION.html","GOBP_TOLERANCE_INDUCTION")</f>
        <v>GOBP_TOLERANCE_INDUCTION</v>
      </c>
      <c r="C467" s="4">
        <v>43</v>
      </c>
      <c r="D467" s="3">
        <v>1.9443878000000001</v>
      </c>
      <c r="E467" s="1">
        <v>0</v>
      </c>
      <c r="F467" s="2">
        <v>1.6334475000000001E-3</v>
      </c>
    </row>
    <row r="468" spans="1:6" x14ac:dyDescent="0.25">
      <c r="A468" t="s">
        <v>9</v>
      </c>
      <c r="B468" s="5" t="str">
        <f>HYPERLINK("http://www.broadinstitute.org/gsea/msigdb/cards/HALLMARK_ANGIOGENESIS.html","HALLMARK_ANGIOGENESIS")</f>
        <v>HALLMARK_ANGIOGENESIS</v>
      </c>
      <c r="C468" s="4">
        <v>36</v>
      </c>
      <c r="D468" s="3">
        <v>1.943322</v>
      </c>
      <c r="E468" s="1">
        <v>0</v>
      </c>
      <c r="F468" s="2">
        <v>1.6533224E-3</v>
      </c>
    </row>
    <row r="469" spans="1:6" x14ac:dyDescent="0.25">
      <c r="A469" t="s">
        <v>7</v>
      </c>
      <c r="B469" s="5" t="str">
        <f>HYPERLINK("http://www.broadinstitute.org/gsea/msigdb/cards/GOCC_GOLGI_ASSOCIATED_VESICLE.html","GOCC_GOLGI_ASSOCIATED_VESICLE")</f>
        <v>GOCC_GOLGI_ASSOCIATED_VESICLE</v>
      </c>
      <c r="C469" s="4">
        <v>95</v>
      </c>
      <c r="D469" s="3">
        <v>1.9423165</v>
      </c>
      <c r="E469" s="1">
        <v>0</v>
      </c>
      <c r="F469" s="2">
        <v>1.672942E-3</v>
      </c>
    </row>
    <row r="470" spans="1:6" x14ac:dyDescent="0.25">
      <c r="A470" t="s">
        <v>11</v>
      </c>
      <c r="B470" s="5" t="str">
        <f>HYPERLINK("http://www.broadinstitute.org/gsea/msigdb/cards/WP_PROSTAGLANDIN_SYNTHESIS_AND_REGULATION.html","WP_PROSTAGLANDIN_SYNTHESIS_AND_REGULATION")</f>
        <v>WP_PROSTAGLANDIN_SYNTHESIS_AND_REGULATION</v>
      </c>
      <c r="C470" s="4">
        <v>29</v>
      </c>
      <c r="D470" s="3">
        <v>1.9422429999999999</v>
      </c>
      <c r="E470" s="1">
        <v>0</v>
      </c>
      <c r="F470" s="2">
        <v>1.6739948999999999E-3</v>
      </c>
    </row>
    <row r="471" spans="1:6" x14ac:dyDescent="0.25">
      <c r="A471" t="s">
        <v>6</v>
      </c>
      <c r="B471" s="5" t="str">
        <f>HYPERLINK("http://www.broadinstitute.org/gsea/msigdb/cards/GOBP_MATURE_B_CELL_DIFFERENTIATION_INVOLVED_IN_IMMUNE_RESPONSE.html","GOBP_MATURE_B_CELL_DIFFERENTIATION_INVOLVED_IN_IMMUNE_RESPONSE")</f>
        <v>GOBP_MATURE_B_CELL_DIFFERENTIATION_INVOLVED_IN_IMMUNE_RESPONSE</v>
      </c>
      <c r="C471" s="4">
        <v>34</v>
      </c>
      <c r="D471" s="3">
        <v>1.9419109999999999</v>
      </c>
      <c r="E471" s="1">
        <v>0</v>
      </c>
      <c r="F471" s="2">
        <v>1.6750599000000001E-3</v>
      </c>
    </row>
    <row r="472" spans="1:6" x14ac:dyDescent="0.25">
      <c r="A472" t="s">
        <v>5</v>
      </c>
      <c r="B472" s="5" t="str">
        <f>HYPERLINK("http://www.broadinstitute.org/gsea/msigdb/cards/BIOCARTA_EICOSANOID_PATHWAY.html","BIOCARTA_EICOSANOID_PATHWAY")</f>
        <v>BIOCARTA_EICOSANOID_PATHWAY</v>
      </c>
      <c r="C472" s="4">
        <v>20</v>
      </c>
      <c r="D472" s="3">
        <v>1.9411151</v>
      </c>
      <c r="E472" s="1">
        <v>1.6638935E-3</v>
      </c>
      <c r="F472" s="2">
        <v>1.6899729E-3</v>
      </c>
    </row>
    <row r="473" spans="1:6" x14ac:dyDescent="0.25">
      <c r="A473" t="s">
        <v>6</v>
      </c>
      <c r="B473" s="5" t="str">
        <f>HYPERLINK("http://www.broadinstitute.org/gsea/msigdb/cards/GOBP_REGULATION_OF_DEFENSE_RESPONSE_TO_VIRUS.html","GOBP_REGULATION_OF_DEFENSE_RESPONSE_TO_VIRUS")</f>
        <v>GOBP_REGULATION_OF_DEFENSE_RESPONSE_TO_VIRUS</v>
      </c>
      <c r="C473" s="4">
        <v>97</v>
      </c>
      <c r="D473" s="3">
        <v>1.9408044</v>
      </c>
      <c r="E473" s="1">
        <v>0</v>
      </c>
      <c r="F473" s="2">
        <v>1.6979803999999999E-3</v>
      </c>
    </row>
    <row r="474" spans="1:6" x14ac:dyDescent="0.25">
      <c r="A474" t="s">
        <v>6</v>
      </c>
      <c r="B474" s="5" t="str">
        <f>HYPERLINK("http://www.broadinstitute.org/gsea/msigdb/cards/GOBP_MOVEMENT_IN_HOST.html","GOBP_MOVEMENT_IN_HOST")</f>
        <v>GOBP_MOVEMENT_IN_HOST</v>
      </c>
      <c r="C474" s="4">
        <v>118</v>
      </c>
      <c r="D474" s="3">
        <v>1.9406235000000001</v>
      </c>
      <c r="E474" s="1">
        <v>0</v>
      </c>
      <c r="F474" s="2">
        <v>1.6966836E-3</v>
      </c>
    </row>
    <row r="475" spans="1:6" x14ac:dyDescent="0.25">
      <c r="A475" t="s">
        <v>6</v>
      </c>
      <c r="B475" s="5" t="str">
        <f>HYPERLINK("http://www.broadinstitute.org/gsea/msigdb/cards/GOBP_POSITIVE_REGULATION_OF_REACTIVE_OXYGEN_SPECIES_METABOLIC_PROCESS.html","GOBP_POSITIVE_REGULATION_OF_REACTIVE_OXYGEN_SPECIES_METABOLIC_PROCESS")</f>
        <v>GOBP_POSITIVE_REGULATION_OF_REACTIVE_OXYGEN_SPECIES_METABOLIC_PROCESS</v>
      </c>
      <c r="C475" s="4">
        <v>84</v>
      </c>
      <c r="D475" s="3">
        <v>1.940326</v>
      </c>
      <c r="E475" s="1">
        <v>0</v>
      </c>
      <c r="F475" s="2">
        <v>1.7045679E-3</v>
      </c>
    </row>
    <row r="476" spans="1:6" x14ac:dyDescent="0.25">
      <c r="A476" t="s">
        <v>10</v>
      </c>
      <c r="B476" s="5" t="str">
        <f>HYPERLINK("http://www.broadinstitute.org/gsea/msigdb/cards/REACTOME_SIGNALING_BY_MET.html","REACTOME_SIGNALING_BY_MET")</f>
        <v>REACTOME_SIGNALING_BY_MET</v>
      </c>
      <c r="C476" s="4">
        <v>69</v>
      </c>
      <c r="D476" s="3">
        <v>1.939387</v>
      </c>
      <c r="E476" s="1">
        <v>0</v>
      </c>
      <c r="F476" s="2">
        <v>1.733079E-3</v>
      </c>
    </row>
    <row r="477" spans="1:6" x14ac:dyDescent="0.25">
      <c r="A477" t="s">
        <v>6</v>
      </c>
      <c r="B477" s="5" t="str">
        <f>HYPERLINK("http://www.broadinstitute.org/gsea/msigdb/cards/GOBP_NEGATIVE_REGULATION_OF_INFLAMMATORY_RESPONSE.html","GOBP_NEGATIVE_REGULATION_OF_INFLAMMATORY_RESPONSE")</f>
        <v>GOBP_NEGATIVE_REGULATION_OF_INFLAMMATORY_RESPONSE</v>
      </c>
      <c r="C477" s="4">
        <v>156</v>
      </c>
      <c r="D477" s="3">
        <v>1.9391752</v>
      </c>
      <c r="E477" s="1">
        <v>0</v>
      </c>
      <c r="F477" s="2">
        <v>1.7317268999999999E-3</v>
      </c>
    </row>
    <row r="478" spans="1:6" x14ac:dyDescent="0.25">
      <c r="A478" t="s">
        <v>6</v>
      </c>
      <c r="B478" s="5" t="str">
        <f>HYPERLINK("http://www.broadinstitute.org/gsea/msigdb/cards/GOBP_REGULATION_OF_BLOOD_VESSEL_ENDOTHELIAL_CELL_MIGRATION.html","GOBP_REGULATION_OF_BLOOD_VESSEL_ENDOTHELIAL_CELL_MIGRATION")</f>
        <v>GOBP_REGULATION_OF_BLOOD_VESSEL_ENDOTHELIAL_CELL_MIGRATION</v>
      </c>
      <c r="C478" s="4">
        <v>94</v>
      </c>
      <c r="D478" s="3">
        <v>1.9388323000000001</v>
      </c>
      <c r="E478" s="1">
        <v>0</v>
      </c>
      <c r="F478" s="2">
        <v>1.7371915999999999E-3</v>
      </c>
    </row>
    <row r="479" spans="1:6" x14ac:dyDescent="0.25">
      <c r="A479" t="s">
        <v>6</v>
      </c>
      <c r="B479" s="5" t="str">
        <f>HYPERLINK("http://www.broadinstitute.org/gsea/msigdb/cards/GOBP_REGULATION_OF_T_CELL_ACTIVATION.html","GOBP_REGULATION_OF_T_CELL_ACTIVATION")</f>
        <v>GOBP_REGULATION_OF_T_CELL_ACTIVATION</v>
      </c>
      <c r="C479" s="4">
        <v>386</v>
      </c>
      <c r="D479" s="3">
        <v>1.9375180999999999</v>
      </c>
      <c r="E479" s="1">
        <v>0</v>
      </c>
      <c r="F479" s="2">
        <v>1.7631328E-3</v>
      </c>
    </row>
    <row r="480" spans="1:6" x14ac:dyDescent="0.25">
      <c r="A480" t="s">
        <v>6</v>
      </c>
      <c r="B480" s="5" t="str">
        <f>HYPERLINK("http://www.broadinstitute.org/gsea/msigdb/cards/GOBP_MHC_CLASS_II_BIOSYNTHETIC_PROCESS.html","GOBP_MHC_CLASS_II_BIOSYNTHETIC_PROCESS")</f>
        <v>GOBP_MHC_CLASS_II_BIOSYNTHETIC_PROCESS</v>
      </c>
      <c r="C480" s="4">
        <v>17</v>
      </c>
      <c r="D480" s="3">
        <v>1.9361155999999999</v>
      </c>
      <c r="E480" s="1">
        <v>1.7182130999999999E-3</v>
      </c>
      <c r="F480" s="2">
        <v>1.8116725E-3</v>
      </c>
    </row>
    <row r="481" spans="1:6" x14ac:dyDescent="0.25">
      <c r="A481" t="s">
        <v>7</v>
      </c>
      <c r="B481" s="5" t="str">
        <f>HYPERLINK("http://www.broadinstitute.org/gsea/msigdb/cards/GOCC_IMMUNOLOGICAL_SYNAPSE.html","GOCC_IMMUNOLOGICAL_SYNAPSE")</f>
        <v>GOCC_IMMUNOLOGICAL_SYNAPSE</v>
      </c>
      <c r="C481" s="4">
        <v>45</v>
      </c>
      <c r="D481" s="3">
        <v>1.9348437999999999</v>
      </c>
      <c r="E481" s="1">
        <v>0</v>
      </c>
      <c r="F481" s="2">
        <v>1.8396415999999999E-3</v>
      </c>
    </row>
    <row r="482" spans="1:6" x14ac:dyDescent="0.25">
      <c r="A482" t="s">
        <v>8</v>
      </c>
      <c r="B482" s="5" t="str">
        <f>HYPERLINK("http://www.broadinstitute.org/gsea/msigdb/cards/GOMF_PHOSPHATIDYLINOSITOL_BINDING.html","GOMF_PHOSPHATIDYLINOSITOL_BINDING")</f>
        <v>GOMF_PHOSPHATIDYLINOSITOL_BINDING</v>
      </c>
      <c r="C482" s="4">
        <v>289</v>
      </c>
      <c r="D482" s="3">
        <v>1.9344311000000001</v>
      </c>
      <c r="E482" s="1">
        <v>0</v>
      </c>
      <c r="F482" s="2">
        <v>1.8471347999999999E-3</v>
      </c>
    </row>
    <row r="483" spans="1:6" x14ac:dyDescent="0.25">
      <c r="A483" t="s">
        <v>8</v>
      </c>
      <c r="B483" s="5" t="str">
        <f>HYPERLINK("http://www.broadinstitute.org/gsea/msigdb/cards/GOMF_ENDOPEPTIDASE_ACTIVITY.html","GOMF_ENDOPEPTIDASE_ACTIVITY")</f>
        <v>GOMF_ENDOPEPTIDASE_ACTIVITY</v>
      </c>
      <c r="C483" s="4">
        <v>373</v>
      </c>
      <c r="D483" s="3">
        <v>1.9328235</v>
      </c>
      <c r="E483" s="1">
        <v>0</v>
      </c>
      <c r="F483" s="2">
        <v>1.8997988999999999E-3</v>
      </c>
    </row>
    <row r="484" spans="1:6" x14ac:dyDescent="0.25">
      <c r="A484" t="s">
        <v>6</v>
      </c>
      <c r="B484" s="5" t="str">
        <f>HYPERLINK("http://www.broadinstitute.org/gsea/msigdb/cards/GOBP_REGULATION_OF_B_CELL_PROLIFERATION.html","GOBP_REGULATION_OF_B_CELL_PROLIFERATION")</f>
        <v>GOBP_REGULATION_OF_B_CELL_PROLIFERATION</v>
      </c>
      <c r="C484" s="4">
        <v>70</v>
      </c>
      <c r="D484" s="3">
        <v>1.9325876</v>
      </c>
      <c r="E484" s="1">
        <v>0</v>
      </c>
      <c r="F484" s="2">
        <v>1.8980834E-3</v>
      </c>
    </row>
    <row r="485" spans="1:6" x14ac:dyDescent="0.25">
      <c r="A485" t="s">
        <v>6</v>
      </c>
      <c r="B485" s="5" t="str">
        <f>HYPERLINK("http://www.broadinstitute.org/gsea/msigdb/cards/GOBP_LIVER_MORPHOGENESIS.html","GOBP_LIVER_MORPHOGENESIS")</f>
        <v>GOBP_LIVER_MORPHOGENESIS</v>
      </c>
      <c r="C485" s="4">
        <v>36</v>
      </c>
      <c r="D485" s="3">
        <v>1.932517</v>
      </c>
      <c r="E485" s="1">
        <v>0</v>
      </c>
      <c r="F485" s="2">
        <v>1.8986448E-3</v>
      </c>
    </row>
    <row r="486" spans="1:6" x14ac:dyDescent="0.25">
      <c r="A486" t="s">
        <v>6</v>
      </c>
      <c r="B486" s="5" t="str">
        <f>HYPERLINK("http://www.broadinstitute.org/gsea/msigdb/cards/GOBP_NEGATIVE_REGULATION_OF_DEFENSE_RESPONSE.html","GOBP_NEGATIVE_REGULATION_OF_DEFENSE_RESPONSE")</f>
        <v>GOBP_NEGATIVE_REGULATION_OF_DEFENSE_RESPONSE</v>
      </c>
      <c r="C486" s="4">
        <v>287</v>
      </c>
      <c r="D486" s="3">
        <v>1.9316499</v>
      </c>
      <c r="E486" s="1">
        <v>0</v>
      </c>
      <c r="F486" s="2">
        <v>1.9259899E-3</v>
      </c>
    </row>
    <row r="487" spans="1:6" x14ac:dyDescent="0.25">
      <c r="A487" t="s">
        <v>8</v>
      </c>
      <c r="B487" s="5" t="str">
        <f>HYPERLINK("http://www.broadinstitute.org/gsea/msigdb/cards/GOMF_VASCULAR_ENDOTHELIAL_GROWTH_FACTOR_RECEPTOR_BINDING.html","GOMF_VASCULAR_ENDOTHELIAL_GROWTH_FACTOR_RECEPTOR_BINDING")</f>
        <v>GOMF_VASCULAR_ENDOTHELIAL_GROWTH_FACTOR_RECEPTOR_BINDING</v>
      </c>
      <c r="C487" s="4">
        <v>16</v>
      </c>
      <c r="D487" s="3">
        <v>1.9311427000000001</v>
      </c>
      <c r="E487" s="1">
        <v>1.6694489999999999E-3</v>
      </c>
      <c r="F487" s="2">
        <v>1.9332378E-3</v>
      </c>
    </row>
    <row r="488" spans="1:6" x14ac:dyDescent="0.25">
      <c r="A488" t="s">
        <v>10</v>
      </c>
      <c r="B488" s="5" t="str">
        <f>HYPERLINK("http://www.broadinstitute.org/gsea/msigdb/cards/REACTOME_MET_PROMOTES_CELL_MOTILITY.html","REACTOME_MET_PROMOTES_CELL_MOTILITY")</f>
        <v>REACTOME_MET_PROMOTES_CELL_MOTILITY</v>
      </c>
      <c r="C488" s="4">
        <v>32</v>
      </c>
      <c r="D488" s="3">
        <v>1.931081</v>
      </c>
      <c r="E488" s="1">
        <v>0</v>
      </c>
      <c r="F488" s="2">
        <v>1.9314896E-3</v>
      </c>
    </row>
    <row r="489" spans="1:6" x14ac:dyDescent="0.25">
      <c r="A489" t="s">
        <v>10</v>
      </c>
      <c r="B489" s="5" t="str">
        <f>HYPERLINK("http://www.broadinstitute.org/gsea/msigdb/cards/REACTOME_PEPTIDE_LIGAND_BINDING_RECEPTORS.html","REACTOME_PEPTIDE_LIGAND_BINDING_RECEPTORS")</f>
        <v>REACTOME_PEPTIDE_LIGAND_BINDING_RECEPTORS</v>
      </c>
      <c r="C489" s="4">
        <v>171</v>
      </c>
      <c r="D489" s="3">
        <v>1.9295800999999999</v>
      </c>
      <c r="E489" s="1">
        <v>0</v>
      </c>
      <c r="F489" s="2">
        <v>1.9765268E-3</v>
      </c>
    </row>
    <row r="490" spans="1:6" x14ac:dyDescent="0.25">
      <c r="A490" t="s">
        <v>6</v>
      </c>
      <c r="B490" s="5" t="str">
        <f>HYPERLINK("http://www.broadinstitute.org/gsea/msigdb/cards/GOBP_POSITIVE_REGULATION_OF_OSTEOCLAST_DIFFERENTIATION.html","GOBP_POSITIVE_REGULATION_OF_OSTEOCLAST_DIFFERENTIATION")</f>
        <v>GOBP_POSITIVE_REGULATION_OF_OSTEOCLAST_DIFFERENTIATION</v>
      </c>
      <c r="C490" s="4">
        <v>38</v>
      </c>
      <c r="D490" s="3">
        <v>1.9293373</v>
      </c>
      <c r="E490" s="1">
        <v>0</v>
      </c>
      <c r="F490" s="2">
        <v>1.9792346000000001E-3</v>
      </c>
    </row>
    <row r="491" spans="1:6" x14ac:dyDescent="0.25">
      <c r="A491" t="s">
        <v>6</v>
      </c>
      <c r="B491" s="5" t="str">
        <f>HYPERLINK("http://www.broadinstitute.org/gsea/msigdb/cards/GOBP_POSITIVE_REGULATION_OF_MEMBRANE_INVAGINATION.html","GOBP_POSITIVE_REGULATION_OF_MEMBRANE_INVAGINATION")</f>
        <v>GOBP_POSITIVE_REGULATION_OF_MEMBRANE_INVAGINATION</v>
      </c>
      <c r="C491" s="4">
        <v>17</v>
      </c>
      <c r="D491" s="3">
        <v>1.9289803999999999</v>
      </c>
      <c r="E491" s="1">
        <v>1.7301039000000001E-3</v>
      </c>
      <c r="F491" s="2">
        <v>1.9796054999999999E-3</v>
      </c>
    </row>
    <row r="492" spans="1:6" x14ac:dyDescent="0.25">
      <c r="A492" t="s">
        <v>8</v>
      </c>
      <c r="B492" s="5" t="str">
        <f>HYPERLINK("http://www.broadinstitute.org/gsea/msigdb/cards/GOMF_EXTRACELLULAR_MATRIX_BINDING.html","GOMF_EXTRACELLULAR_MATRIX_BINDING")</f>
        <v>GOMF_EXTRACELLULAR_MATRIX_BINDING</v>
      </c>
      <c r="C492" s="4">
        <v>58</v>
      </c>
      <c r="D492" s="3">
        <v>1.9269673</v>
      </c>
      <c r="E492" s="1">
        <v>0</v>
      </c>
      <c r="F492" s="2">
        <v>2.0221470000000002E-3</v>
      </c>
    </row>
    <row r="493" spans="1:6" x14ac:dyDescent="0.25">
      <c r="A493" t="s">
        <v>11</v>
      </c>
      <c r="B493" s="5" t="str">
        <f>HYPERLINK("http://www.broadinstitute.org/gsea/msigdb/cards/WP_BURN_WOUND_HEALING.html","WP_BURN_WOUND_HEALING")</f>
        <v>WP_BURN_WOUND_HEALING</v>
      </c>
      <c r="C493" s="4">
        <v>15</v>
      </c>
      <c r="D493" s="3">
        <v>1.9263113000000001</v>
      </c>
      <c r="E493" s="1">
        <v>0</v>
      </c>
      <c r="F493" s="2">
        <v>2.0356337E-3</v>
      </c>
    </row>
    <row r="494" spans="1:6" x14ac:dyDescent="0.25">
      <c r="A494" t="s">
        <v>10</v>
      </c>
      <c r="B494" s="5" t="str">
        <f>HYPERLINK("http://www.broadinstitute.org/gsea/msigdb/cards/REACTOME_ANTIMICROBIAL_PEPTIDES.html","REACTOME_ANTIMICROBIAL_PEPTIDES")</f>
        <v>REACTOME_ANTIMICROBIAL_PEPTIDES</v>
      </c>
      <c r="C494" s="4">
        <v>42</v>
      </c>
      <c r="D494" s="3">
        <v>1.9252522999999999</v>
      </c>
      <c r="E494" s="1">
        <v>0</v>
      </c>
      <c r="F494" s="2">
        <v>2.0667535999999999E-3</v>
      </c>
    </row>
    <row r="495" spans="1:6" x14ac:dyDescent="0.25">
      <c r="A495" t="s">
        <v>6</v>
      </c>
      <c r="B495" s="5" t="str">
        <f>HYPERLINK("http://www.broadinstitute.org/gsea/msigdb/cards/GOBP_POSITIVE_REGULATION_OF_INTERLEUKIN_12_PRODUCTION.html","GOBP_POSITIVE_REGULATION_OF_INTERLEUKIN_12_PRODUCTION")</f>
        <v>GOBP_POSITIVE_REGULATION_OF_INTERLEUKIN_12_PRODUCTION</v>
      </c>
      <c r="C495" s="4">
        <v>44</v>
      </c>
      <c r="D495" s="3">
        <v>1.9247911</v>
      </c>
      <c r="E495" s="1">
        <v>0</v>
      </c>
      <c r="F495" s="2">
        <v>2.0779882999999999E-3</v>
      </c>
    </row>
    <row r="496" spans="1:6" x14ac:dyDescent="0.25">
      <c r="A496" t="s">
        <v>8</v>
      </c>
      <c r="B496" s="5" t="str">
        <f>HYPERLINK("http://www.broadinstitute.org/gsea/msigdb/cards/GOMF_ENDOPEPTIDASE_ACTIVATOR_ACTIVITY.html","GOMF_ENDOPEPTIDASE_ACTIVATOR_ACTIVITY")</f>
        <v>GOMF_ENDOPEPTIDASE_ACTIVATOR_ACTIVITY</v>
      </c>
      <c r="C496" s="4">
        <v>16</v>
      </c>
      <c r="D496" s="3">
        <v>1.9246042000000001</v>
      </c>
      <c r="E496" s="1">
        <v>0</v>
      </c>
      <c r="F496" s="2">
        <v>2.0825812000000001E-3</v>
      </c>
    </row>
    <row r="497" spans="1:6" x14ac:dyDescent="0.25">
      <c r="A497" t="s">
        <v>7</v>
      </c>
      <c r="B497" s="5" t="str">
        <f>HYPERLINK("http://www.broadinstitute.org/gsea/msigdb/cards/GOCC_GOLGI_STACK.html","GOCC_GOLGI_STACK")</f>
        <v>GOCC_GOLGI_STACK</v>
      </c>
      <c r="C497" s="4">
        <v>91</v>
      </c>
      <c r="D497" s="3">
        <v>1.9234226999999999</v>
      </c>
      <c r="E497" s="1">
        <v>0</v>
      </c>
      <c r="F497" s="2">
        <v>2.1265359E-3</v>
      </c>
    </row>
    <row r="498" spans="1:6" x14ac:dyDescent="0.25">
      <c r="A498" t="s">
        <v>6</v>
      </c>
      <c r="B498" s="5" t="str">
        <f>HYPERLINK("http://www.broadinstitute.org/gsea/msigdb/cards/GOBP_REGULATION_OF_CELLULAR_RESPONSE_TO_OXIDATIVE_STRESS.html","GOBP_REGULATION_OF_CELLULAR_RESPONSE_TO_OXIDATIVE_STRESS")</f>
        <v>GOBP_REGULATION_OF_CELLULAR_RESPONSE_TO_OXIDATIVE_STRESS</v>
      </c>
      <c r="C498" s="4">
        <v>26</v>
      </c>
      <c r="D498" s="3">
        <v>1.9223934</v>
      </c>
      <c r="E498" s="1">
        <v>0</v>
      </c>
      <c r="F498" s="2">
        <v>2.1550622999999998E-3</v>
      </c>
    </row>
    <row r="499" spans="1:6" x14ac:dyDescent="0.25">
      <c r="A499" t="s">
        <v>6</v>
      </c>
      <c r="B499" s="5" t="str">
        <f>HYPERLINK("http://www.broadinstitute.org/gsea/msigdb/cards/GOBP_NEGATIVE_REGULATION_OF_COAGULATION.html","GOBP_NEGATIVE_REGULATION_OF_COAGULATION")</f>
        <v>GOBP_NEGATIVE_REGULATION_OF_COAGULATION</v>
      </c>
      <c r="C499" s="4">
        <v>48</v>
      </c>
      <c r="D499" s="3">
        <v>1.9218769</v>
      </c>
      <c r="E499" s="1">
        <v>0</v>
      </c>
      <c r="F499" s="2">
        <v>2.1681220000000002E-3</v>
      </c>
    </row>
    <row r="500" spans="1:6" x14ac:dyDescent="0.25">
      <c r="A500" t="s">
        <v>6</v>
      </c>
      <c r="B500" s="5" t="str">
        <f>HYPERLINK("http://www.broadinstitute.org/gsea/msigdb/cards/GOBP_REGULATION_OF_BODY_FLUID_LEVELS.html","GOBP_REGULATION_OF_BODY_FLUID_LEVELS")</f>
        <v>GOBP_REGULATION_OF_BODY_FLUID_LEVELS</v>
      </c>
      <c r="C500" s="4">
        <v>319</v>
      </c>
      <c r="D500" s="3">
        <v>1.9218516000000001</v>
      </c>
      <c r="E500" s="1">
        <v>0</v>
      </c>
      <c r="F500" s="2">
        <v>2.1637597000000001E-3</v>
      </c>
    </row>
    <row r="501" spans="1:6" x14ac:dyDescent="0.25">
      <c r="A501" t="s">
        <v>6</v>
      </c>
      <c r="B501" s="5" t="str">
        <f>HYPERLINK("http://www.broadinstitute.org/gsea/msigdb/cards/GOBP_POSITIVE_REGULATION_OF_SYNCYTIUM_FORMATION_BY_PLASMA_MEMBRANE_FUSION.html","GOBP_POSITIVE_REGULATION_OF_SYNCYTIUM_FORMATION_BY_PLASMA_MEMBRANE_FUSION")</f>
        <v>GOBP_POSITIVE_REGULATION_OF_SYNCYTIUM_FORMATION_BY_PLASMA_MEMBRANE_FUSION</v>
      </c>
      <c r="C501" s="4">
        <v>26</v>
      </c>
      <c r="D501" s="3">
        <v>1.9209582000000001</v>
      </c>
      <c r="E501" s="1">
        <v>1.7123288E-3</v>
      </c>
      <c r="F501" s="2">
        <v>2.189889E-3</v>
      </c>
    </row>
    <row r="502" spans="1:6" x14ac:dyDescent="0.25">
      <c r="A502" t="s">
        <v>6</v>
      </c>
      <c r="B502" s="5" t="str">
        <f>HYPERLINK("http://www.broadinstitute.org/gsea/msigdb/cards/GOBP_ACTIVATION_OF_CYSTEINE_TYPE_ENDOPEPTIDASE_ACTIVITY_INVOLVED_IN_APOPTOTIC_PROCESS.html","GOBP_ACTIVATION_OF_CYSTEINE_TYPE_ENDOPEPTIDASE_ACTIVITY_INVOLVED_IN_APOPTOTIC_PROCESS")</f>
        <v>GOBP_ACTIVATION_OF_CYSTEINE_TYPE_ENDOPEPTIDASE_ACTIVITY_INVOLVED_IN_APOPTOTIC_PROCESS</v>
      </c>
      <c r="C502" s="4">
        <v>77</v>
      </c>
      <c r="D502" s="3">
        <v>1.9206023999999999</v>
      </c>
      <c r="E502" s="1">
        <v>0</v>
      </c>
      <c r="F502" s="2">
        <v>2.1985564000000001E-3</v>
      </c>
    </row>
    <row r="503" spans="1:6" x14ac:dyDescent="0.25">
      <c r="A503" t="s">
        <v>10</v>
      </c>
      <c r="B503" s="5" t="str">
        <f>HYPERLINK("http://www.broadinstitute.org/gsea/msigdb/cards/REACTOME_RAC1_GTPASE_CYCLE.html","REACTOME_RAC1_GTPASE_CYCLE")</f>
        <v>REACTOME_RAC1_GTPASE_CYCLE</v>
      </c>
      <c r="C503" s="4">
        <v>171</v>
      </c>
      <c r="D503" s="3">
        <v>1.9203452999999999</v>
      </c>
      <c r="E503" s="1">
        <v>0</v>
      </c>
      <c r="F503" s="2">
        <v>2.2006311999999998E-3</v>
      </c>
    </row>
    <row r="504" spans="1:6" x14ac:dyDescent="0.25">
      <c r="A504" t="s">
        <v>6</v>
      </c>
      <c r="B504" s="5" t="str">
        <f>HYPERLINK("http://www.broadinstitute.org/gsea/msigdb/cards/GOBP_NATURAL_KILLER_CELL_ACTIVATION_INVOLVED_IN_IMMUNE_RESPONSE.html","GOBP_NATURAL_KILLER_CELL_ACTIVATION_INVOLVED_IN_IMMUNE_RESPONSE")</f>
        <v>GOBP_NATURAL_KILLER_CELL_ACTIVATION_INVOLVED_IN_IMMUNE_RESPONSE</v>
      </c>
      <c r="C504" s="4">
        <v>22</v>
      </c>
      <c r="D504" s="3">
        <v>1.9200953000000001</v>
      </c>
      <c r="E504" s="1">
        <v>0</v>
      </c>
      <c r="F504" s="2">
        <v>2.2048800000000002E-3</v>
      </c>
    </row>
    <row r="505" spans="1:6" x14ac:dyDescent="0.25">
      <c r="A505" t="s">
        <v>6</v>
      </c>
      <c r="B505" s="5" t="str">
        <f>HYPERLINK("http://www.broadinstitute.org/gsea/msigdb/cards/GOBP_POSITIVE_REGULATION_OF_MONOCYTE_CHEMOTAXIS.html","GOBP_POSITIVE_REGULATION_OF_MONOCYTE_CHEMOTAXIS")</f>
        <v>GOBP_POSITIVE_REGULATION_OF_MONOCYTE_CHEMOTAXIS</v>
      </c>
      <c r="C505" s="4">
        <v>23</v>
      </c>
      <c r="D505" s="3">
        <v>1.9200287</v>
      </c>
      <c r="E505" s="1">
        <v>0</v>
      </c>
      <c r="F505" s="2">
        <v>2.2004877999999999E-3</v>
      </c>
    </row>
    <row r="506" spans="1:6" x14ac:dyDescent="0.25">
      <c r="A506" t="s">
        <v>6</v>
      </c>
      <c r="B506" s="5" t="str">
        <f>HYPERLINK("http://www.broadinstitute.org/gsea/msigdb/cards/GOBP_AMYLOID_BETA_CLEARANCE.html","GOBP_AMYLOID_BETA_CLEARANCE")</f>
        <v>GOBP_AMYLOID_BETA_CLEARANCE</v>
      </c>
      <c r="C506" s="4">
        <v>37</v>
      </c>
      <c r="D506" s="3">
        <v>1.9197986</v>
      </c>
      <c r="E506" s="1">
        <v>1.6583748000000001E-3</v>
      </c>
      <c r="F506" s="2">
        <v>2.2003906999999998E-3</v>
      </c>
    </row>
    <row r="507" spans="1:6" x14ac:dyDescent="0.25">
      <c r="A507" t="s">
        <v>6</v>
      </c>
      <c r="B507" s="5" t="str">
        <f>HYPERLINK("http://www.broadinstitute.org/gsea/msigdb/cards/GOBP_NEGATIVE_REGULATION_OF_VIRAL_LIFE_CYCLE.html","GOBP_NEGATIVE_REGULATION_OF_VIRAL_LIFE_CYCLE")</f>
        <v>GOBP_NEGATIVE_REGULATION_OF_VIRAL_LIFE_CYCLE</v>
      </c>
      <c r="C507" s="4">
        <v>34</v>
      </c>
      <c r="D507" s="3">
        <v>1.9192944000000001</v>
      </c>
      <c r="E507" s="1">
        <v>3.4013605000000001E-3</v>
      </c>
      <c r="F507" s="2">
        <v>2.1982019999999998E-3</v>
      </c>
    </row>
    <row r="508" spans="1:6" x14ac:dyDescent="0.25">
      <c r="A508" t="s">
        <v>6</v>
      </c>
      <c r="B508" s="5" t="str">
        <f>HYPERLINK("http://www.broadinstitute.org/gsea/msigdb/cards/GOBP_REGULATION_OF_ANTIGEN_RECEPTOR_MEDIATED_SIGNALING_PATHWAY.html","GOBP_REGULATION_OF_ANTIGEN_RECEPTOR_MEDIATED_SIGNALING_PATHWAY")</f>
        <v>GOBP_REGULATION_OF_ANTIGEN_RECEPTOR_MEDIATED_SIGNALING_PATHWAY</v>
      </c>
      <c r="C508" s="4">
        <v>65</v>
      </c>
      <c r="D508" s="3">
        <v>1.9190932999999999</v>
      </c>
      <c r="E508" s="1">
        <v>0</v>
      </c>
      <c r="F508" s="2">
        <v>2.1981140000000001E-3</v>
      </c>
    </row>
    <row r="509" spans="1:6" x14ac:dyDescent="0.25">
      <c r="A509" t="s">
        <v>6</v>
      </c>
      <c r="B509" s="5" t="str">
        <f>HYPERLINK("http://www.broadinstitute.org/gsea/msigdb/cards/GOBP_POSITIVE_REGULATION_OF_APOPTOTIC_SIGNALING_PATHWAY.html","GOBP_POSITIVE_REGULATION_OF_APOPTOTIC_SIGNALING_PATHWAY")</f>
        <v>GOBP_POSITIVE_REGULATION_OF_APOPTOTIC_SIGNALING_PATHWAY</v>
      </c>
      <c r="C509" s="4">
        <v>167</v>
      </c>
      <c r="D509" s="3">
        <v>1.9171686999999999</v>
      </c>
      <c r="E509" s="1">
        <v>0</v>
      </c>
      <c r="F509" s="2">
        <v>2.2536938E-3</v>
      </c>
    </row>
    <row r="510" spans="1:6" x14ac:dyDescent="0.25">
      <c r="A510" t="s">
        <v>11</v>
      </c>
      <c r="B510" s="5" t="str">
        <f>HYPERLINK("http://www.broadinstitute.org/gsea/msigdb/cards/WP_GPCRS_SMALL_LIGAND.html","WP_GPCRS_SMALL_LIGAND")</f>
        <v>WP_GPCRS_SMALL_LIGAND</v>
      </c>
      <c r="C510" s="4">
        <v>17</v>
      </c>
      <c r="D510" s="3">
        <v>1.9151309999999999</v>
      </c>
      <c r="E510" s="1">
        <v>0</v>
      </c>
      <c r="F510" s="2">
        <v>2.3070208000000002E-3</v>
      </c>
    </row>
    <row r="511" spans="1:6" x14ac:dyDescent="0.25">
      <c r="A511" t="s">
        <v>6</v>
      </c>
      <c r="B511" s="5" t="str">
        <f>HYPERLINK("http://www.broadinstitute.org/gsea/msigdb/cards/GOBP_POSITIVE_REGULATION_OF_MYELOID_CELL_DIFFERENTIATION.html","GOBP_POSITIVE_REGULATION_OF_MYELOID_CELL_DIFFERENTIATION")</f>
        <v>GOBP_POSITIVE_REGULATION_OF_MYELOID_CELL_DIFFERENTIATION</v>
      </c>
      <c r="C511" s="4">
        <v>112</v>
      </c>
      <c r="D511" s="3">
        <v>1.9144509999999999</v>
      </c>
      <c r="E511" s="1">
        <v>0</v>
      </c>
      <c r="F511" s="2">
        <v>2.3217467000000002E-3</v>
      </c>
    </row>
    <row r="512" spans="1:6" x14ac:dyDescent="0.25">
      <c r="A512" t="s">
        <v>6</v>
      </c>
      <c r="B512" s="5" t="str">
        <f>HYPERLINK("http://www.broadinstitute.org/gsea/msigdb/cards/GOBP_T_CELL_ACTIVATION_INVOLVED_IN_IMMUNE_RESPONSE.html","GOBP_T_CELL_ACTIVATION_INVOLVED_IN_IMMUNE_RESPONSE")</f>
        <v>GOBP_T_CELL_ACTIVATION_INVOLVED_IN_IMMUNE_RESPONSE</v>
      </c>
      <c r="C512" s="4">
        <v>109</v>
      </c>
      <c r="D512" s="3">
        <v>1.9143680000000001</v>
      </c>
      <c r="E512" s="1">
        <v>0</v>
      </c>
      <c r="F512" s="2">
        <v>2.3214554000000002E-3</v>
      </c>
    </row>
    <row r="513" spans="1:6" x14ac:dyDescent="0.25">
      <c r="A513" t="s">
        <v>6</v>
      </c>
      <c r="B513" s="5" t="str">
        <f>HYPERLINK("http://www.broadinstitute.org/gsea/msigdb/cards/GOBP_REGULATION_OF_T_HELPER_17_TYPE_IMMUNE_RESPONSE.html","GOBP_REGULATION_OF_T_HELPER_17_TYPE_IMMUNE_RESPONSE")</f>
        <v>GOBP_REGULATION_OF_T_HELPER_17_TYPE_IMMUNE_RESPONSE</v>
      </c>
      <c r="C513" s="4">
        <v>31</v>
      </c>
      <c r="D513" s="3">
        <v>1.9135739</v>
      </c>
      <c r="E513" s="1">
        <v>0</v>
      </c>
      <c r="F513" s="2">
        <v>2.3423519999999998E-3</v>
      </c>
    </row>
    <row r="514" spans="1:6" x14ac:dyDescent="0.25">
      <c r="A514" t="s">
        <v>6</v>
      </c>
      <c r="B514" s="5" t="str">
        <f>HYPERLINK("http://www.broadinstitute.org/gsea/msigdb/cards/GOBP_MYELOID_DENDRITIC_CELL_ACTIVATION.html","GOBP_MYELOID_DENDRITIC_CELL_ACTIVATION")</f>
        <v>GOBP_MYELOID_DENDRITIC_CELL_ACTIVATION</v>
      </c>
      <c r="C514" s="4">
        <v>38</v>
      </c>
      <c r="D514" s="3">
        <v>1.9130946</v>
      </c>
      <c r="E514" s="1">
        <v>0</v>
      </c>
      <c r="F514" s="2">
        <v>2.3484065000000001E-3</v>
      </c>
    </row>
    <row r="515" spans="1:6" x14ac:dyDescent="0.25">
      <c r="A515" t="s">
        <v>6</v>
      </c>
      <c r="B515" s="5" t="str">
        <f>HYPERLINK("http://www.broadinstitute.org/gsea/msigdb/cards/GOBP_NEGATIVE_REGULATION_OF_CELL_CELL_ADHESION.html","GOBP_NEGATIVE_REGULATION_OF_CELL_CELL_ADHESION")</f>
        <v>GOBP_NEGATIVE_REGULATION_OF_CELL_CELL_ADHESION</v>
      </c>
      <c r="C515" s="4">
        <v>203</v>
      </c>
      <c r="D515" s="3">
        <v>1.9118875</v>
      </c>
      <c r="E515" s="1">
        <v>0</v>
      </c>
      <c r="F515" s="2">
        <v>2.3798145999999998E-3</v>
      </c>
    </row>
    <row r="516" spans="1:6" x14ac:dyDescent="0.25">
      <c r="A516" t="s">
        <v>10</v>
      </c>
      <c r="B516" s="5" t="str">
        <f>HYPERLINK("http://www.broadinstitute.org/gsea/msigdb/cards/REACTOME_MET_ACTIVATES_PTK2_SIGNALING.html","REACTOME_MET_ACTIVATES_PTK2_SIGNALING")</f>
        <v>REACTOME_MET_ACTIVATES_PTK2_SIGNALING</v>
      </c>
      <c r="C516" s="4">
        <v>21</v>
      </c>
      <c r="D516" s="3">
        <v>1.9117024</v>
      </c>
      <c r="E516" s="1">
        <v>0</v>
      </c>
      <c r="F516" s="2">
        <v>2.3835811000000001E-3</v>
      </c>
    </row>
    <row r="517" spans="1:6" x14ac:dyDescent="0.25">
      <c r="A517" t="s">
        <v>5</v>
      </c>
      <c r="B517" s="5" t="str">
        <f>HYPERLINK("http://www.broadinstitute.org/gsea/msigdb/cards/BIOCARTA_CARDIACEGF_PATHWAY.html","BIOCARTA_CARDIACEGF_PATHWAY")</f>
        <v>BIOCARTA_CARDIACEGF_PATHWAY</v>
      </c>
      <c r="C517" s="4">
        <v>18</v>
      </c>
      <c r="D517" s="3">
        <v>1.9116907000000001</v>
      </c>
      <c r="E517" s="1">
        <v>0</v>
      </c>
      <c r="F517" s="2">
        <v>2.3789435999999999E-3</v>
      </c>
    </row>
    <row r="518" spans="1:6" x14ac:dyDescent="0.25">
      <c r="A518" t="s">
        <v>10</v>
      </c>
      <c r="B518" s="5" t="str">
        <f>HYPERLINK("http://www.broadinstitute.org/gsea/msigdb/cards/REACTOME_RHO_GTPASES_ACTIVATE_WASPS_AND_WAVES.html","REACTOME_RHO_GTPASES_ACTIVATE_WASPS_AND_WAVES")</f>
        <v>REACTOME_RHO_GTPASES_ACTIVATE_WASPS_AND_WAVES</v>
      </c>
      <c r="C518" s="4">
        <v>32</v>
      </c>
      <c r="D518" s="3">
        <v>1.9116046</v>
      </c>
      <c r="E518" s="1">
        <v>0</v>
      </c>
      <c r="F518" s="2">
        <v>2.3785379999999999E-3</v>
      </c>
    </row>
    <row r="519" spans="1:6" x14ac:dyDescent="0.25">
      <c r="A519" t="s">
        <v>6</v>
      </c>
      <c r="B519" s="5" t="str">
        <f>HYPERLINK("http://www.broadinstitute.org/gsea/msigdb/cards/GOBP_GLYCOSYLATION.html","GOBP_GLYCOSYLATION")</f>
        <v>GOBP_GLYCOSYLATION</v>
      </c>
      <c r="C519" s="4">
        <v>215</v>
      </c>
      <c r="D519" s="3">
        <v>1.9108357</v>
      </c>
      <c r="E519" s="1">
        <v>0</v>
      </c>
      <c r="F519" s="2">
        <v>2.3990697E-3</v>
      </c>
    </row>
    <row r="520" spans="1:6" x14ac:dyDescent="0.25">
      <c r="A520" t="s">
        <v>10</v>
      </c>
      <c r="B520" s="5" t="str">
        <f>HYPERLINK("http://www.broadinstitute.org/gsea/msigdb/cards/REACTOME_SIGNALING_BY_RECEPTOR_TYROSINE_KINASES.html","REACTOME_SIGNALING_BY_RECEPTOR_TYROSINE_KINASES")</f>
        <v>REACTOME_SIGNALING_BY_RECEPTOR_TYROSINE_KINASES</v>
      </c>
      <c r="C520" s="4">
        <v>400</v>
      </c>
      <c r="D520" s="3">
        <v>1.9105496</v>
      </c>
      <c r="E520" s="1">
        <v>0</v>
      </c>
      <c r="F520" s="2">
        <v>2.4007347000000001E-3</v>
      </c>
    </row>
    <row r="521" spans="1:6" x14ac:dyDescent="0.25">
      <c r="A521" t="s">
        <v>6</v>
      </c>
      <c r="B521" s="5" t="str">
        <f>HYPERLINK("http://www.broadinstitute.org/gsea/msigdb/cards/GOBP_NEGATIVE_REGULATION_OF_NERVOUS_SYSTEM_PROCESS.html","GOBP_NEGATIVE_REGULATION_OF_NERVOUS_SYSTEM_PROCESS")</f>
        <v>GOBP_NEGATIVE_REGULATION_OF_NERVOUS_SYSTEM_PROCESS</v>
      </c>
      <c r="C521" s="4">
        <v>24</v>
      </c>
      <c r="D521" s="3">
        <v>1.9103483000000001</v>
      </c>
      <c r="E521" s="1">
        <v>0</v>
      </c>
      <c r="F521" s="2">
        <v>2.4108129999999999E-3</v>
      </c>
    </row>
    <row r="522" spans="1:6" x14ac:dyDescent="0.25">
      <c r="A522" t="s">
        <v>6</v>
      </c>
      <c r="B522" s="5" t="str">
        <f>HYPERLINK("http://www.broadinstitute.org/gsea/msigdb/cards/GOBP_NEGATIVE_REGULATION_OF_TUMOR_NECROSIS_FACTOR_SUPERFAMILY_CYTOKINE_PRODUCTION.html","GOBP_NEGATIVE_REGULATION_OF_TUMOR_NECROSIS_FACTOR_SUPERFAMILY_CYTOKINE_PRODUCTION")</f>
        <v>GOBP_NEGATIVE_REGULATION_OF_TUMOR_NECROSIS_FACTOR_SUPERFAMILY_CYTOKINE_PRODUCTION</v>
      </c>
      <c r="C522" s="4">
        <v>67</v>
      </c>
      <c r="D522" s="3">
        <v>1.9103117000000001</v>
      </c>
      <c r="E522" s="1">
        <v>0</v>
      </c>
      <c r="F522" s="2">
        <v>2.4061678000000001E-3</v>
      </c>
    </row>
    <row r="523" spans="1:6" x14ac:dyDescent="0.25">
      <c r="A523" t="s">
        <v>6</v>
      </c>
      <c r="B523" s="5" t="str">
        <f>HYPERLINK("http://www.broadinstitute.org/gsea/msigdb/cards/GOBP_REGULATION_OF_BONE_REMODELING.html","GOBP_REGULATION_OF_BONE_REMODELING")</f>
        <v>GOBP_REGULATION_OF_BONE_REMODELING</v>
      </c>
      <c r="C523" s="4">
        <v>60</v>
      </c>
      <c r="D523" s="3">
        <v>1.9090178</v>
      </c>
      <c r="E523" s="1">
        <v>0</v>
      </c>
      <c r="F523" s="2">
        <v>2.4555639999999999E-3</v>
      </c>
    </row>
    <row r="524" spans="1:6" x14ac:dyDescent="0.25">
      <c r="A524" t="s">
        <v>6</v>
      </c>
      <c r="B524" s="5" t="str">
        <f>HYPERLINK("http://www.broadinstitute.org/gsea/msigdb/cards/GOBP_LEUKOCYTE_AGGREGATION.html","GOBP_LEUKOCYTE_AGGREGATION")</f>
        <v>GOBP_LEUKOCYTE_AGGREGATION</v>
      </c>
      <c r="C524" s="4">
        <v>17</v>
      </c>
      <c r="D524" s="3">
        <v>1.9076195</v>
      </c>
      <c r="E524" s="1">
        <v>0</v>
      </c>
      <c r="F524" s="2">
        <v>2.4966665E-3</v>
      </c>
    </row>
    <row r="525" spans="1:6" x14ac:dyDescent="0.25">
      <c r="A525" t="s">
        <v>6</v>
      </c>
      <c r="B525" s="5" t="str">
        <f>HYPERLINK("http://www.broadinstitute.org/gsea/msigdb/cards/GOBP_SPROUTING_ANGIOGENESIS.html","GOBP_SPROUTING_ANGIOGENESIS")</f>
        <v>GOBP_SPROUTING_ANGIOGENESIS</v>
      </c>
      <c r="C525" s="4">
        <v>131</v>
      </c>
      <c r="D525" s="3">
        <v>1.9073712</v>
      </c>
      <c r="E525" s="1">
        <v>0</v>
      </c>
      <c r="F525" s="2">
        <v>2.5002103999999998E-3</v>
      </c>
    </row>
    <row r="526" spans="1:6" x14ac:dyDescent="0.25">
      <c r="A526" t="s">
        <v>11</v>
      </c>
      <c r="B526" s="5" t="str">
        <f>HYPERLINK("http://www.broadinstitute.org/gsea/msigdb/cards/WP_APOPTOSIS_MODULATION_BY_HSP70.html","WP_APOPTOSIS_MODULATION_BY_HSP70")</f>
        <v>WP_APOPTOSIS_MODULATION_BY_HSP70</v>
      </c>
      <c r="C526" s="4">
        <v>16</v>
      </c>
      <c r="D526" s="3">
        <v>1.9060751</v>
      </c>
      <c r="E526" s="1">
        <v>1.8018018000000001E-3</v>
      </c>
      <c r="F526" s="2">
        <v>2.5430543E-3</v>
      </c>
    </row>
    <row r="527" spans="1:6" x14ac:dyDescent="0.25">
      <c r="A527" t="s">
        <v>6</v>
      </c>
      <c r="B527" s="5" t="str">
        <f>HYPERLINK("http://www.broadinstitute.org/gsea/msigdb/cards/GOBP_REGULATION_OF_LEUKOCYTE_APOPTOTIC_PROCESS.html","GOBP_REGULATION_OF_LEUKOCYTE_APOPTOTIC_PROCESS")</f>
        <v>GOBP_REGULATION_OF_LEUKOCYTE_APOPTOTIC_PROCESS</v>
      </c>
      <c r="C527" s="4">
        <v>104</v>
      </c>
      <c r="D527" s="3">
        <v>1.9059807</v>
      </c>
      <c r="E527" s="1">
        <v>0</v>
      </c>
      <c r="F527" s="2">
        <v>2.5402606000000001E-3</v>
      </c>
    </row>
    <row r="528" spans="1:6" x14ac:dyDescent="0.25">
      <c r="A528" t="s">
        <v>10</v>
      </c>
      <c r="B528" s="5" t="str">
        <f>HYPERLINK("http://www.broadinstitute.org/gsea/msigdb/cards/REACTOME_COSTIMULATION_BY_THE_CD28_FAMILY.html","REACTOME_COSTIMULATION_BY_THE_CD28_FAMILY")</f>
        <v>REACTOME_COSTIMULATION_BY_THE_CD28_FAMILY</v>
      </c>
      <c r="C528" s="4">
        <v>61</v>
      </c>
      <c r="D528" s="3">
        <v>1.9053258</v>
      </c>
      <c r="E528" s="1">
        <v>0</v>
      </c>
      <c r="F528" s="2">
        <v>2.5622977000000001E-3</v>
      </c>
    </row>
    <row r="529" spans="1:6" x14ac:dyDescent="0.25">
      <c r="A529" t="s">
        <v>8</v>
      </c>
      <c r="B529" s="5" t="str">
        <f>HYPERLINK("http://www.broadinstitute.org/gsea/msigdb/cards/GOMF_PROTEOGLYCAN_BINDING.html","GOMF_PROTEOGLYCAN_BINDING")</f>
        <v>GOMF_PROTEOGLYCAN_BINDING</v>
      </c>
      <c r="C529" s="4">
        <v>40</v>
      </c>
      <c r="D529" s="3">
        <v>1.9046285999999999</v>
      </c>
      <c r="E529" s="1">
        <v>0</v>
      </c>
      <c r="F529" s="2">
        <v>2.5800520000000002E-3</v>
      </c>
    </row>
    <row r="530" spans="1:6" x14ac:dyDescent="0.25">
      <c r="A530" t="s">
        <v>6</v>
      </c>
      <c r="B530" s="5" t="str">
        <f>HYPERLINK("http://www.broadinstitute.org/gsea/msigdb/cards/GOBP_HYPERSENSITIVITY.html","GOBP_HYPERSENSITIVITY")</f>
        <v>GOBP_HYPERSENSITIVITY</v>
      </c>
      <c r="C530" s="4">
        <v>28</v>
      </c>
      <c r="D530" s="3">
        <v>1.9043162</v>
      </c>
      <c r="E530" s="1">
        <v>0</v>
      </c>
      <c r="F530" s="2">
        <v>2.5895315000000001E-3</v>
      </c>
    </row>
    <row r="531" spans="1:6" x14ac:dyDescent="0.25">
      <c r="A531" t="s">
        <v>6</v>
      </c>
      <c r="B531" s="5" t="str">
        <f>HYPERLINK("http://www.broadinstitute.org/gsea/msigdb/cards/GOBP_LYMPHOCYTE_COSTIMULATION.html","GOBP_LYMPHOCYTE_COSTIMULATION")</f>
        <v>GOBP_LYMPHOCYTE_COSTIMULATION</v>
      </c>
      <c r="C531" s="4">
        <v>32</v>
      </c>
      <c r="D531" s="3">
        <v>1.9030978999999999</v>
      </c>
      <c r="E531" s="1">
        <v>0</v>
      </c>
      <c r="F531" s="2">
        <v>2.6360102999999999E-3</v>
      </c>
    </row>
    <row r="532" spans="1:6" x14ac:dyDescent="0.25">
      <c r="A532" t="s">
        <v>8</v>
      </c>
      <c r="B532" s="5" t="str">
        <f>HYPERLINK("http://www.broadinstitute.org/gsea/msigdb/cards/GOMF_CARBOHYDRATE_BINDING.html","GOMF_CARBOHYDRATE_BINDING")</f>
        <v>GOMF_CARBOHYDRATE_BINDING</v>
      </c>
      <c r="C532" s="4">
        <v>269</v>
      </c>
      <c r="D532" s="3">
        <v>1.9025612999999999</v>
      </c>
      <c r="E532" s="1">
        <v>0</v>
      </c>
      <c r="F532" s="2">
        <v>2.6536087999999998E-3</v>
      </c>
    </row>
    <row r="533" spans="1:6" x14ac:dyDescent="0.25">
      <c r="A533" t="s">
        <v>8</v>
      </c>
      <c r="B533" s="5" t="str">
        <f>HYPERLINK("http://www.broadinstitute.org/gsea/msigdb/cards/GOMF_MANNOSIDASE_ACTIVITY.html","GOMF_MANNOSIDASE_ACTIVITY")</f>
        <v>GOMF_MANNOSIDASE_ACTIVITY</v>
      </c>
      <c r="C533" s="4">
        <v>15</v>
      </c>
      <c r="D533" s="3">
        <v>1.9023474</v>
      </c>
      <c r="E533" s="1">
        <v>1.7241379E-3</v>
      </c>
      <c r="F533" s="2">
        <v>2.6588359999999999E-3</v>
      </c>
    </row>
    <row r="534" spans="1:6" x14ac:dyDescent="0.25">
      <c r="A534" t="s">
        <v>6</v>
      </c>
      <c r="B534" s="5" t="str">
        <f>HYPERLINK("http://www.broadinstitute.org/gsea/msigdb/cards/GOBP_REGULATION_OF_CELL_SUBSTRATE_ADHESION.html","GOBP_REGULATION_OF_CELL_SUBSTRATE_ADHESION")</f>
        <v>GOBP_REGULATION_OF_CELL_SUBSTRATE_ADHESION</v>
      </c>
      <c r="C534" s="4">
        <v>224</v>
      </c>
      <c r="D534" s="3">
        <v>1.9010081999999999</v>
      </c>
      <c r="E534" s="1">
        <v>0</v>
      </c>
      <c r="F534" s="2">
        <v>2.6988619999999998E-3</v>
      </c>
    </row>
    <row r="535" spans="1:6" x14ac:dyDescent="0.25">
      <c r="A535" t="s">
        <v>6</v>
      </c>
      <c r="B535" s="5" t="str">
        <f>HYPERLINK("http://www.broadinstitute.org/gsea/msigdb/cards/GOBP_BASEMENT_MEMBRANE_ORGANIZATION.html","GOBP_BASEMENT_MEMBRANE_ORGANIZATION")</f>
        <v>GOBP_BASEMENT_MEMBRANE_ORGANIZATION</v>
      </c>
      <c r="C535" s="4">
        <v>41</v>
      </c>
      <c r="D535" s="3">
        <v>1.9009938</v>
      </c>
      <c r="E535" s="1">
        <v>1.6666667E-3</v>
      </c>
      <c r="F535" s="2">
        <v>2.6937889999999998E-3</v>
      </c>
    </row>
    <row r="536" spans="1:6" x14ac:dyDescent="0.25">
      <c r="A536" t="s">
        <v>6</v>
      </c>
      <c r="B536" s="5" t="str">
        <f>HYPERLINK("http://www.broadinstitute.org/gsea/msigdb/cards/GOBP_ALPHA_BETA_T_CELL_ACTIVATION.html","GOBP_ALPHA_BETA_T_CELL_ACTIVATION")</f>
        <v>GOBP_ALPHA_BETA_T_CELL_ACTIVATION</v>
      </c>
      <c r="C536" s="4">
        <v>202</v>
      </c>
      <c r="D536" s="3">
        <v>1.9008693999999999</v>
      </c>
      <c r="E536" s="1">
        <v>0</v>
      </c>
      <c r="F536" s="2">
        <v>2.6907464000000001E-3</v>
      </c>
    </row>
    <row r="537" spans="1:6" x14ac:dyDescent="0.25">
      <c r="A537" t="s">
        <v>6</v>
      </c>
      <c r="B537" s="5" t="str">
        <f>HYPERLINK("http://www.broadinstitute.org/gsea/msigdb/cards/GOBP_MICROGLIA_DIFFERENTIATION.html","GOBP_MICROGLIA_DIFFERENTIATION")</f>
        <v>GOBP_MICROGLIA_DIFFERENTIATION</v>
      </c>
      <c r="C537" s="4">
        <v>15</v>
      </c>
      <c r="D537" s="3">
        <v>1.9003606</v>
      </c>
      <c r="E537" s="1">
        <v>5.2083334999999996E-3</v>
      </c>
      <c r="F537" s="2">
        <v>2.6998591999999998E-3</v>
      </c>
    </row>
    <row r="538" spans="1:6" x14ac:dyDescent="0.25">
      <c r="A538" t="s">
        <v>8</v>
      </c>
      <c r="B538" s="5" t="str">
        <f>HYPERLINK("http://www.broadinstitute.org/gsea/msigdb/cards/GOMF_NADPLUS_ADP_RIBOSYLTRANSFERASE_ACTIVITY.html","GOMF_NADPLUS_ADP_RIBOSYLTRANSFERASE_ACTIVITY")</f>
        <v>GOMF_NADPLUS_ADP_RIBOSYLTRANSFERASE_ACTIVITY</v>
      </c>
      <c r="C538" s="4">
        <v>22</v>
      </c>
      <c r="D538" s="3">
        <v>1.8998013</v>
      </c>
      <c r="E538" s="1">
        <v>0</v>
      </c>
      <c r="F538" s="2">
        <v>2.7231999999999998E-3</v>
      </c>
    </row>
    <row r="539" spans="1:6" x14ac:dyDescent="0.25">
      <c r="A539" t="s">
        <v>6</v>
      </c>
      <c r="B539" s="5" t="str">
        <f>HYPERLINK("http://www.broadinstitute.org/gsea/msigdb/cards/GOBP_REGULATION_OF_VIRAL_PROCESS.html","GOBP_REGULATION_OF_VIRAL_PROCESS")</f>
        <v>GOBP_REGULATION_OF_VIRAL_PROCESS</v>
      </c>
      <c r="C539" s="4">
        <v>173</v>
      </c>
      <c r="D539" s="3">
        <v>1.8993785000000001</v>
      </c>
      <c r="E539" s="1">
        <v>0</v>
      </c>
      <c r="F539" s="2">
        <v>2.7444259999999999E-3</v>
      </c>
    </row>
    <row r="540" spans="1:6" x14ac:dyDescent="0.25">
      <c r="A540" t="s">
        <v>10</v>
      </c>
      <c r="B540" s="5" t="str">
        <f>HYPERLINK("http://www.broadinstitute.org/gsea/msigdb/cards/REACTOME_TOLL_LIKE_RECEPTOR_4_TLR4_CASCADE.html","REACTOME_TOLL_LIKE_RECEPTOR_4_TLR4_CASCADE")</f>
        <v>REACTOME_TOLL_LIKE_RECEPTOR_4_TLR4_CASCADE</v>
      </c>
      <c r="C540" s="4">
        <v>115</v>
      </c>
      <c r="D540" s="3">
        <v>1.8986262</v>
      </c>
      <c r="E540" s="1">
        <v>0</v>
      </c>
      <c r="F540" s="2">
        <v>2.7655510000000002E-3</v>
      </c>
    </row>
    <row r="541" spans="1:6" x14ac:dyDescent="0.25">
      <c r="A541" t="s">
        <v>6</v>
      </c>
      <c r="B541" s="5" t="str">
        <f>HYPERLINK("http://www.broadinstitute.org/gsea/msigdb/cards/GOBP_INNATE_IMMUNE_RESPONSE_ACTIVATING_CELL_SURFACE_RECEPTOR_SIGNALING_PATHWAY.html","GOBP_INNATE_IMMUNE_RESPONSE_ACTIVATING_CELL_SURFACE_RECEPTOR_SIGNALING_PATHWAY")</f>
        <v>GOBP_INNATE_IMMUNE_RESPONSE_ACTIVATING_CELL_SURFACE_RECEPTOR_SIGNALING_PATHWAY</v>
      </c>
      <c r="C541" s="4">
        <v>80</v>
      </c>
      <c r="D541" s="3">
        <v>1.8983517000000001</v>
      </c>
      <c r="E541" s="1">
        <v>0</v>
      </c>
      <c r="F541" s="2">
        <v>2.7705026E-3</v>
      </c>
    </row>
    <row r="542" spans="1:6" x14ac:dyDescent="0.25">
      <c r="A542" t="s">
        <v>7</v>
      </c>
      <c r="B542" s="5" t="str">
        <f>HYPERLINK("http://www.broadinstitute.org/gsea/msigdb/cards/GOCC_BASEMENT_MEMBRANE.html","GOCC_BASEMENT_MEMBRANE")</f>
        <v>GOCC_BASEMENT_MEMBRANE</v>
      </c>
      <c r="C542" s="4">
        <v>112</v>
      </c>
      <c r="D542" s="3">
        <v>1.8981285999999999</v>
      </c>
      <c r="E542" s="1">
        <v>0</v>
      </c>
      <c r="F542" s="2">
        <v>2.7734105999999998E-3</v>
      </c>
    </row>
    <row r="543" spans="1:6" x14ac:dyDescent="0.25">
      <c r="A543" t="s">
        <v>10</v>
      </c>
      <c r="B543" s="5" t="str">
        <f>HYPERLINK("http://www.broadinstitute.org/gsea/msigdb/cards/REACTOME_O_LINKED_GLYCOSYLATION.html","REACTOME_O_LINKED_GLYCOSYLATION")</f>
        <v>REACTOME_O_LINKED_GLYCOSYLATION</v>
      </c>
      <c r="C543" s="4">
        <v>103</v>
      </c>
      <c r="D543" s="3">
        <v>1.8979265999999999</v>
      </c>
      <c r="E543" s="1">
        <v>0</v>
      </c>
      <c r="F543" s="2">
        <v>2.7742584000000001E-3</v>
      </c>
    </row>
    <row r="544" spans="1:6" x14ac:dyDescent="0.25">
      <c r="A544" t="s">
        <v>7</v>
      </c>
      <c r="B544" s="5" t="str">
        <f>HYPERLINK("http://www.broadinstitute.org/gsea/msigdb/cards/GOCC_CANONICAL_INFLAMMASOME_COMPLEX.html","GOCC_CANONICAL_INFLAMMASOME_COMPLEX")</f>
        <v>GOCC_CANONICAL_INFLAMMASOME_COMPLEX</v>
      </c>
      <c r="C544" s="4">
        <v>17</v>
      </c>
      <c r="D544" s="3">
        <v>1.8973602000000001</v>
      </c>
      <c r="E544" s="1">
        <v>0</v>
      </c>
      <c r="F544" s="2">
        <v>2.7911350000000001E-3</v>
      </c>
    </row>
    <row r="545" spans="1:6" x14ac:dyDescent="0.25">
      <c r="A545" t="s">
        <v>6</v>
      </c>
      <c r="B545" s="5" t="str">
        <f>HYPERLINK("http://www.broadinstitute.org/gsea/msigdb/cards/GOBP_NEGATIVE_REGULATION_OF_IMMUNOGLOBULIN_PRODUCTION.html","GOBP_NEGATIVE_REGULATION_OF_IMMUNOGLOBULIN_PRODUCTION")</f>
        <v>GOBP_NEGATIVE_REGULATION_OF_IMMUNOGLOBULIN_PRODUCTION</v>
      </c>
      <c r="C545" s="4">
        <v>15</v>
      </c>
      <c r="D545" s="3">
        <v>1.8967376</v>
      </c>
      <c r="E545" s="1">
        <v>5.2724076E-3</v>
      </c>
      <c r="F545" s="2">
        <v>2.8039832E-3</v>
      </c>
    </row>
    <row r="546" spans="1:6" x14ac:dyDescent="0.25">
      <c r="A546" t="s">
        <v>6</v>
      </c>
      <c r="B546" s="5" t="str">
        <f>HYPERLINK("http://www.broadinstitute.org/gsea/msigdb/cards/GOBP_FC_GAMMA_RECEPTOR_SIGNALING_PATHWAY.html","GOBP_FC_GAMMA_RECEPTOR_SIGNALING_PATHWAY")</f>
        <v>GOBP_FC_GAMMA_RECEPTOR_SIGNALING_PATHWAY</v>
      </c>
      <c r="C546" s="4">
        <v>15</v>
      </c>
      <c r="D546" s="3">
        <v>1.8965647000000001</v>
      </c>
      <c r="E546" s="1">
        <v>0</v>
      </c>
      <c r="F546" s="2">
        <v>2.8108193000000001E-3</v>
      </c>
    </row>
    <row r="547" spans="1:6" x14ac:dyDescent="0.25">
      <c r="A547" t="s">
        <v>6</v>
      </c>
      <c r="B547" s="5" t="str">
        <f>HYPERLINK("http://www.broadinstitute.org/gsea/msigdb/cards/GOBP_REGULATION_OF_T_CELL_CHEMOTAXIS.html","GOBP_REGULATION_OF_T_CELL_CHEMOTAXIS")</f>
        <v>GOBP_REGULATION_OF_T_CELL_CHEMOTAXIS</v>
      </c>
      <c r="C547" s="4">
        <v>15</v>
      </c>
      <c r="D547" s="3">
        <v>1.8959828999999999</v>
      </c>
      <c r="E547" s="1">
        <v>0</v>
      </c>
      <c r="F547" s="2">
        <v>2.8275155999999998E-3</v>
      </c>
    </row>
    <row r="548" spans="1:6" x14ac:dyDescent="0.25">
      <c r="A548" t="s">
        <v>6</v>
      </c>
      <c r="B548" s="5" t="str">
        <f>HYPERLINK("http://www.broadinstitute.org/gsea/msigdb/cards/GOBP_REGULATION_OF_NATURAL_KILLER_CELL_DIFFERENTIATION.html","GOBP_REGULATION_OF_NATURAL_KILLER_CELL_DIFFERENTIATION")</f>
        <v>GOBP_REGULATION_OF_NATURAL_KILLER_CELL_DIFFERENTIATION</v>
      </c>
      <c r="C548" s="4">
        <v>18</v>
      </c>
      <c r="D548" s="3">
        <v>1.8951526999999999</v>
      </c>
      <c r="E548" s="1">
        <v>0</v>
      </c>
      <c r="F548" s="2">
        <v>2.8461557999999998E-3</v>
      </c>
    </row>
    <row r="549" spans="1:6" x14ac:dyDescent="0.25">
      <c r="A549" t="s">
        <v>6</v>
      </c>
      <c r="B549" s="5" t="str">
        <f>HYPERLINK("http://www.broadinstitute.org/gsea/msigdb/cards/GOBP_ENDOTHELIAL_CELL_DEVELOPMENT.html","GOBP_ENDOTHELIAL_CELL_DEVELOPMENT")</f>
        <v>GOBP_ENDOTHELIAL_CELL_DEVELOPMENT</v>
      </c>
      <c r="C549" s="4">
        <v>69</v>
      </c>
      <c r="D549" s="3">
        <v>1.8950332000000001</v>
      </c>
      <c r="E549" s="1">
        <v>0</v>
      </c>
      <c r="F549" s="2">
        <v>2.8468447000000001E-3</v>
      </c>
    </row>
    <row r="550" spans="1:6" x14ac:dyDescent="0.25">
      <c r="A550" t="s">
        <v>6</v>
      </c>
      <c r="B550" s="5" t="str">
        <f>HYPERLINK("http://www.broadinstitute.org/gsea/msigdb/cards/GOBP_POSITIVE_REGULATION_OF_INTERLEUKIN_17_PRODUCTION.html","GOBP_POSITIVE_REGULATION_OF_INTERLEUKIN_17_PRODUCTION")</f>
        <v>GOBP_POSITIVE_REGULATION_OF_INTERLEUKIN_17_PRODUCTION</v>
      </c>
      <c r="C550" s="4">
        <v>27</v>
      </c>
      <c r="D550" s="3">
        <v>1.8938539999999999</v>
      </c>
      <c r="E550" s="1">
        <v>1.6638935E-3</v>
      </c>
      <c r="F550" s="2">
        <v>2.8912326999999999E-3</v>
      </c>
    </row>
    <row r="551" spans="1:6" x14ac:dyDescent="0.25">
      <c r="A551" t="s">
        <v>6</v>
      </c>
      <c r="B551" s="5" t="str">
        <f>HYPERLINK("http://www.broadinstitute.org/gsea/msigdb/cards/GOBP_ENDOTHELIUM_DEVELOPMENT.html","GOBP_ENDOTHELIUM_DEVELOPMENT")</f>
        <v>GOBP_ENDOTHELIUM_DEVELOPMENT</v>
      </c>
      <c r="C551" s="4">
        <v>136</v>
      </c>
      <c r="D551" s="3">
        <v>1.8933660000000001</v>
      </c>
      <c r="E551" s="1">
        <v>0</v>
      </c>
      <c r="F551" s="2">
        <v>2.909628E-3</v>
      </c>
    </row>
    <row r="552" spans="1:6" x14ac:dyDescent="0.25">
      <c r="A552" t="s">
        <v>6</v>
      </c>
      <c r="B552" s="5" t="str">
        <f>HYPERLINK("http://www.broadinstitute.org/gsea/msigdb/cards/GOBP_NK_T_CELL_ACTIVATION.html","GOBP_NK_T_CELL_ACTIVATION")</f>
        <v>GOBP_NK_T_CELL_ACTIVATION</v>
      </c>
      <c r="C552" s="4">
        <v>16</v>
      </c>
      <c r="D552" s="3">
        <v>1.8927133</v>
      </c>
      <c r="E552" s="1">
        <v>0</v>
      </c>
      <c r="F552" s="2">
        <v>2.9378817000000001E-3</v>
      </c>
    </row>
    <row r="553" spans="1:6" x14ac:dyDescent="0.25">
      <c r="A553" t="s">
        <v>6</v>
      </c>
      <c r="B553" s="5" t="str">
        <f>HYPERLINK("http://www.broadinstitute.org/gsea/msigdb/cards/GOBP_BIOLOGICAL_PROCESS_INVOLVED_IN_INTERACTION_WITH_HOST.html","GOBP_BIOLOGICAL_PROCESS_INVOLVED_IN_INTERACTION_WITH_HOST")</f>
        <v>GOBP_BIOLOGICAL_PROCESS_INVOLVED_IN_INTERACTION_WITH_HOST</v>
      </c>
      <c r="C553" s="4">
        <v>152</v>
      </c>
      <c r="D553" s="3">
        <v>1.8923082</v>
      </c>
      <c r="E553" s="1">
        <v>0</v>
      </c>
      <c r="F553" s="2">
        <v>2.9541993999999999E-3</v>
      </c>
    </row>
    <row r="554" spans="1:6" x14ac:dyDescent="0.25">
      <c r="A554" t="s">
        <v>6</v>
      </c>
      <c r="B554" s="5" t="str">
        <f>HYPERLINK("http://www.broadinstitute.org/gsea/msigdb/cards/GOBP_REGULATION_OF_CANONICAL_NF_KAPPAB_SIGNAL_TRANSDUCTION.html","GOBP_REGULATION_OF_CANONICAL_NF_KAPPAB_SIGNAL_TRANSDUCTION")</f>
        <v>GOBP_REGULATION_OF_CANONICAL_NF_KAPPAB_SIGNAL_TRANSDUCTION</v>
      </c>
      <c r="C554" s="4">
        <v>204</v>
      </c>
      <c r="D554" s="3">
        <v>1.8917586</v>
      </c>
      <c r="E554" s="1">
        <v>0</v>
      </c>
      <c r="F554" s="2">
        <v>2.9763152999999999E-3</v>
      </c>
    </row>
    <row r="555" spans="1:6" x14ac:dyDescent="0.25">
      <c r="A555" t="s">
        <v>6</v>
      </c>
      <c r="B555" s="5" t="str">
        <f>HYPERLINK("http://www.broadinstitute.org/gsea/msigdb/cards/GOBP_COMPLEMENT_ACTIVATION.html","GOBP_COMPLEMENT_ACTIVATION")</f>
        <v>GOBP_COMPLEMENT_ACTIVATION</v>
      </c>
      <c r="C555" s="4">
        <v>50</v>
      </c>
      <c r="D555" s="3">
        <v>1.8911473000000001</v>
      </c>
      <c r="E555" s="1">
        <v>0</v>
      </c>
      <c r="F555" s="2">
        <v>2.9944768000000001E-3</v>
      </c>
    </row>
    <row r="556" spans="1:6" x14ac:dyDescent="0.25">
      <c r="A556" t="s">
        <v>6</v>
      </c>
      <c r="B556" s="5" t="str">
        <f>HYPERLINK("http://www.broadinstitute.org/gsea/msigdb/cards/GOBP_REGULATION_OF_MAST_CELL_ACTIVATION_INVOLVED_IN_IMMUNE_RESPONSE.html","GOBP_REGULATION_OF_MAST_CELL_ACTIVATION_INVOLVED_IN_IMMUNE_RESPONSE")</f>
        <v>GOBP_REGULATION_OF_MAST_CELL_ACTIVATION_INVOLVED_IN_IMMUNE_RESPONSE</v>
      </c>
      <c r="C556" s="4">
        <v>38</v>
      </c>
      <c r="D556" s="3">
        <v>1.8909837</v>
      </c>
      <c r="E556" s="1">
        <v>0</v>
      </c>
      <c r="F556" s="2">
        <v>2.9988708000000001E-3</v>
      </c>
    </row>
    <row r="557" spans="1:6" x14ac:dyDescent="0.25">
      <c r="A557" t="s">
        <v>6</v>
      </c>
      <c r="B557" s="5" t="str">
        <f>HYPERLINK("http://www.broadinstitute.org/gsea/msigdb/cards/GOBP_HETEROTYPIC_CELL_CELL_ADHESION.html","GOBP_HETEROTYPIC_CELL_CELL_ADHESION")</f>
        <v>GOBP_HETEROTYPIC_CELL_CELL_ADHESION</v>
      </c>
      <c r="C557" s="4">
        <v>56</v>
      </c>
      <c r="D557" s="3">
        <v>1.8902494000000001</v>
      </c>
      <c r="E557" s="1">
        <v>0</v>
      </c>
      <c r="F557" s="2">
        <v>3.0267461999999999E-3</v>
      </c>
    </row>
    <row r="558" spans="1:6" x14ac:dyDescent="0.25">
      <c r="A558" t="s">
        <v>6</v>
      </c>
      <c r="B558" s="5" t="str">
        <f>HYPERLINK("http://www.broadinstitute.org/gsea/msigdb/cards/GOBP_REGULATION_OF_BLOOD_VESSEL_ENDOTHELIAL_CELL_PROLIFERATION_INVOLVED_IN_SPROUTING_ANGIOGENESIS.html","GOBP_REGULATION_OF_BLOOD_VESSEL_ENDOTHELIAL_CELL_PROLIFERATION_INVOLVED_IN_SPROUTING_ANGIOGENESIS")</f>
        <v>GOBP_REGULATION_OF_BLOOD_VESSEL_ENDOTHELIAL_CELL_PROLIFERATION_INVOLVED_IN_SPROUTING_ANGIOGENESIS</v>
      </c>
      <c r="C558" s="4">
        <v>17</v>
      </c>
      <c r="D558" s="3">
        <v>1.8899885000000001</v>
      </c>
      <c r="E558" s="1">
        <v>0</v>
      </c>
      <c r="F558" s="2">
        <v>3.032964E-3</v>
      </c>
    </row>
    <row r="559" spans="1:6" x14ac:dyDescent="0.25">
      <c r="A559" t="s">
        <v>6</v>
      </c>
      <c r="B559" s="5" t="str">
        <f>HYPERLINK("http://www.broadinstitute.org/gsea/msigdb/cards/GOBP_REGULATION_OF_MEMBRANE_INVAGINATION.html","GOBP_REGULATION_OF_MEMBRANE_INVAGINATION")</f>
        <v>GOBP_REGULATION_OF_MEMBRANE_INVAGINATION</v>
      </c>
      <c r="C559" s="4">
        <v>21</v>
      </c>
      <c r="D559" s="3">
        <v>1.8891591999999999</v>
      </c>
      <c r="E559" s="1">
        <v>0</v>
      </c>
      <c r="F559" s="2">
        <v>3.0666315E-3</v>
      </c>
    </row>
    <row r="560" spans="1:6" x14ac:dyDescent="0.25">
      <c r="A560" t="s">
        <v>6</v>
      </c>
      <c r="B560" s="5" t="str">
        <f>HYPERLINK("http://www.broadinstitute.org/gsea/msigdb/cards/GOBP_NEGATIVE_REGULATION_OF_T_CELL_PROLIFERATION.html","GOBP_NEGATIVE_REGULATION_OF_T_CELL_PROLIFERATION")</f>
        <v>GOBP_NEGATIVE_REGULATION_OF_T_CELL_PROLIFERATION</v>
      </c>
      <c r="C560" s="4">
        <v>79</v>
      </c>
      <c r="D560" s="3">
        <v>1.8889088999999999</v>
      </c>
      <c r="E560" s="1">
        <v>0</v>
      </c>
      <c r="F560" s="2">
        <v>3.0747217000000001E-3</v>
      </c>
    </row>
    <row r="561" spans="1:6" x14ac:dyDescent="0.25">
      <c r="A561" t="s">
        <v>11</v>
      </c>
      <c r="B561" s="5" t="str">
        <f>HYPERLINK("http://www.broadinstitute.org/gsea/msigdb/cards/WP_IL_1_SIGNALING_PATHWAY.html","WP_IL_1_SIGNALING_PATHWAY")</f>
        <v>WP_IL_1_SIGNALING_PATHWAY</v>
      </c>
      <c r="C561" s="4">
        <v>37</v>
      </c>
      <c r="D561" s="3">
        <v>1.8882451</v>
      </c>
      <c r="E561" s="1">
        <v>0</v>
      </c>
      <c r="F561" s="2">
        <v>3.1158566E-3</v>
      </c>
    </row>
    <row r="562" spans="1:6" x14ac:dyDescent="0.25">
      <c r="A562" t="s">
        <v>6</v>
      </c>
      <c r="B562" s="5" t="str">
        <f>HYPERLINK("http://www.broadinstitute.org/gsea/msigdb/cards/GOBP_REGULATION_OF_HUMORAL_IMMUNE_RESPONSE_MEDIATED_BY_CIRCULATING_IMMUNOGLOBULIN.html","GOBP_REGULATION_OF_HUMORAL_IMMUNE_RESPONSE_MEDIATED_BY_CIRCULATING_IMMUNOGLOBULIN")</f>
        <v>GOBP_REGULATION_OF_HUMORAL_IMMUNE_RESPONSE_MEDIATED_BY_CIRCULATING_IMMUNOGLOBULIN</v>
      </c>
      <c r="C562" s="4">
        <v>18</v>
      </c>
      <c r="D562" s="3">
        <v>1.8878173</v>
      </c>
      <c r="E562" s="1">
        <v>1.7889087000000001E-3</v>
      </c>
      <c r="F562" s="2">
        <v>3.1297197999999998E-3</v>
      </c>
    </row>
    <row r="563" spans="1:6" x14ac:dyDescent="0.25">
      <c r="A563" t="s">
        <v>10</v>
      </c>
      <c r="B563" s="5" t="str">
        <f>HYPERLINK("http://www.broadinstitute.org/gsea/msigdb/cards/REACTOME_METAL_ION_SLC_TRANSPORTERS.html","REACTOME_METAL_ION_SLC_TRANSPORTERS")</f>
        <v>REACTOME_METAL_ION_SLC_TRANSPORTERS</v>
      </c>
      <c r="C563" s="4">
        <v>19</v>
      </c>
      <c r="D563" s="3">
        <v>1.8868716999999999</v>
      </c>
      <c r="E563" s="1">
        <v>1.7211704000000001E-3</v>
      </c>
      <c r="F563" s="2">
        <v>3.178298E-3</v>
      </c>
    </row>
    <row r="564" spans="1:6" x14ac:dyDescent="0.25">
      <c r="A564" t="s">
        <v>6</v>
      </c>
      <c r="B564" s="5" t="str">
        <f>HYPERLINK("http://www.broadinstitute.org/gsea/msigdb/cards/GOBP_NEGATIVE_REGULATION_OF_INNATE_IMMUNE_RESPONSE.html","GOBP_NEGATIVE_REGULATION_OF_INNATE_IMMUNE_RESPONSE")</f>
        <v>GOBP_NEGATIVE_REGULATION_OF_INNATE_IMMUNE_RESPONSE</v>
      </c>
      <c r="C564" s="4">
        <v>104</v>
      </c>
      <c r="D564" s="3">
        <v>1.8866038000000001</v>
      </c>
      <c r="E564" s="1">
        <v>0</v>
      </c>
      <c r="F564" s="2">
        <v>3.1880555000000001E-3</v>
      </c>
    </row>
    <row r="565" spans="1:6" x14ac:dyDescent="0.25">
      <c r="A565" t="s">
        <v>6</v>
      </c>
      <c r="B565" s="5" t="str">
        <f>HYPERLINK("http://www.broadinstitute.org/gsea/msigdb/cards/GOBP_POSITIVE_REGULATION_OF_INFLAMMATORY_RESPONSE_TO_ANTIGENIC_STIMULUS.html","GOBP_POSITIVE_REGULATION_OF_INFLAMMATORY_RESPONSE_TO_ANTIGENIC_STIMULUS")</f>
        <v>GOBP_POSITIVE_REGULATION_OF_INFLAMMATORY_RESPONSE_TO_ANTIGENIC_STIMULUS</v>
      </c>
      <c r="C565" s="4">
        <v>30</v>
      </c>
      <c r="D565" s="3">
        <v>1.8863589000000001</v>
      </c>
      <c r="E565" s="1">
        <v>0</v>
      </c>
      <c r="F565" s="2">
        <v>3.1900132999999999E-3</v>
      </c>
    </row>
    <row r="566" spans="1:6" x14ac:dyDescent="0.25">
      <c r="A566" t="s">
        <v>8</v>
      </c>
      <c r="B566" s="5" t="str">
        <f>HYPERLINK("http://www.broadinstitute.org/gsea/msigdb/cards/GOMF_CYSTEINE_TYPE_ENDOPEPTIDASE_REGULATOR_ACTIVITY_INVOLVED_IN_APOPTOTIC_PROCESS.html","GOMF_CYSTEINE_TYPE_ENDOPEPTIDASE_REGULATOR_ACTIVITY_INVOLVED_IN_APOPTOTIC_PROCESS")</f>
        <v>GOMF_CYSTEINE_TYPE_ENDOPEPTIDASE_REGULATOR_ACTIVITY_INVOLVED_IN_APOPTOTIC_PROCESS</v>
      </c>
      <c r="C566" s="4">
        <v>47</v>
      </c>
      <c r="D566" s="3">
        <v>1.8855375999999999</v>
      </c>
      <c r="E566" s="1">
        <v>0</v>
      </c>
      <c r="F566" s="2">
        <v>3.2209193000000001E-3</v>
      </c>
    </row>
    <row r="567" spans="1:6" x14ac:dyDescent="0.25">
      <c r="A567" t="s">
        <v>6</v>
      </c>
      <c r="B567" s="5" t="str">
        <f>HYPERLINK("http://www.broadinstitute.org/gsea/msigdb/cards/GOBP_POSITIVE_REGULATION_OF_CYTOSOLIC_CALCIUM_ION_CONCENTRATION.html","GOBP_POSITIVE_REGULATION_OF_CYTOSOLIC_CALCIUM_ION_CONCENTRATION")</f>
        <v>GOBP_POSITIVE_REGULATION_OF_CYTOSOLIC_CALCIUM_ION_CONCENTRATION</v>
      </c>
      <c r="C567" s="4">
        <v>190</v>
      </c>
      <c r="D567" s="3">
        <v>1.8855078000000001</v>
      </c>
      <c r="E567" s="1">
        <v>0</v>
      </c>
      <c r="F567" s="2">
        <v>3.2171360000000002E-3</v>
      </c>
    </row>
    <row r="568" spans="1:6" x14ac:dyDescent="0.25">
      <c r="A568" t="s">
        <v>6</v>
      </c>
      <c r="B568" s="5" t="str">
        <f>HYPERLINK("http://www.broadinstitute.org/gsea/msigdb/cards/GOBP_ESTABLISHMENT_OF_ENDOTHELIAL_BARRIER.html","GOBP_ESTABLISHMENT_OF_ENDOTHELIAL_BARRIER")</f>
        <v>GOBP_ESTABLISHMENT_OF_ENDOTHELIAL_BARRIER</v>
      </c>
      <c r="C568" s="4">
        <v>49</v>
      </c>
      <c r="D568" s="3">
        <v>1.8851388</v>
      </c>
      <c r="E568" s="1">
        <v>0</v>
      </c>
      <c r="F568" s="2">
        <v>3.2306190000000001E-3</v>
      </c>
    </row>
    <row r="569" spans="1:6" x14ac:dyDescent="0.25">
      <c r="A569" t="s">
        <v>6</v>
      </c>
      <c r="B569" s="5" t="str">
        <f>HYPERLINK("http://www.broadinstitute.org/gsea/msigdb/cards/GOBP_PROTEIN_O_LINKED_GLYCOSYLATION.html","GOBP_PROTEIN_O_LINKED_GLYCOSYLATION")</f>
        <v>GOBP_PROTEIN_O_LINKED_GLYCOSYLATION</v>
      </c>
      <c r="C569" s="4">
        <v>82</v>
      </c>
      <c r="D569" s="3">
        <v>1.8849486</v>
      </c>
      <c r="E569" s="1">
        <v>0</v>
      </c>
      <c r="F569" s="2">
        <v>3.236404E-3</v>
      </c>
    </row>
    <row r="570" spans="1:6" x14ac:dyDescent="0.25">
      <c r="A570" t="s">
        <v>6</v>
      </c>
      <c r="B570" s="5" t="str">
        <f>HYPERLINK("http://www.broadinstitute.org/gsea/msigdb/cards/GOBP_POSITIVE_REGULATION_OF_PROTEIN_SERINE_THREONINE_KINASE_ACTIVITY.html","GOBP_POSITIVE_REGULATION_OF_PROTEIN_SERINE_THREONINE_KINASE_ACTIVITY")</f>
        <v>GOBP_POSITIVE_REGULATION_OF_PROTEIN_SERINE_THREONINE_KINASE_ACTIVITY</v>
      </c>
      <c r="C570" s="4">
        <v>196</v>
      </c>
      <c r="D570" s="3">
        <v>1.8848417</v>
      </c>
      <c r="E570" s="1">
        <v>0</v>
      </c>
      <c r="F570" s="2">
        <v>3.2364009999999999E-3</v>
      </c>
    </row>
    <row r="571" spans="1:6" x14ac:dyDescent="0.25">
      <c r="A571" t="s">
        <v>6</v>
      </c>
      <c r="B571" s="5" t="str">
        <f>HYPERLINK("http://www.broadinstitute.org/gsea/msigdb/cards/GOBP_POSITIVE_REGULATION_OF_VASCULAR_ENDOTHELIAL_GROWTH_FACTOR_PRODUCTION.html","GOBP_POSITIVE_REGULATION_OF_VASCULAR_ENDOTHELIAL_GROWTH_FACTOR_PRODUCTION")</f>
        <v>GOBP_POSITIVE_REGULATION_OF_VASCULAR_ENDOTHELIAL_GROWTH_FACTOR_PRODUCTION</v>
      </c>
      <c r="C571" s="4">
        <v>27</v>
      </c>
      <c r="D571" s="3">
        <v>1.8843962999999999</v>
      </c>
      <c r="E571" s="1">
        <v>0</v>
      </c>
      <c r="F571" s="2">
        <v>3.2497498E-3</v>
      </c>
    </row>
    <row r="572" spans="1:6" x14ac:dyDescent="0.25">
      <c r="A572" t="s">
        <v>6</v>
      </c>
      <c r="B572" s="5" t="str">
        <f>HYPERLINK("http://www.broadinstitute.org/gsea/msigdb/cards/GOBP_VIRAL_LIFE_CYCLE.html","GOBP_VIRAL_LIFE_CYCLE")</f>
        <v>GOBP_VIRAL_LIFE_CYCLE</v>
      </c>
      <c r="C572" s="4">
        <v>237</v>
      </c>
      <c r="D572" s="3">
        <v>1.8835208000000001</v>
      </c>
      <c r="E572" s="1">
        <v>0</v>
      </c>
      <c r="F572" s="2">
        <v>3.2897262999999999E-3</v>
      </c>
    </row>
    <row r="573" spans="1:6" x14ac:dyDescent="0.25">
      <c r="A573" t="s">
        <v>7</v>
      </c>
      <c r="B573" s="5" t="str">
        <f>HYPERLINK("http://www.broadinstitute.org/gsea/msigdb/cards/GOCC_COMPLEX_OF_COLLAGEN_TRIMERS.html","GOCC_COMPLEX_OF_COLLAGEN_TRIMERS")</f>
        <v>GOCC_COMPLEX_OF_COLLAGEN_TRIMERS</v>
      </c>
      <c r="C573" s="4">
        <v>19</v>
      </c>
      <c r="D573" s="3">
        <v>1.8827566</v>
      </c>
      <c r="E573" s="1">
        <v>1.7543859999999999E-3</v>
      </c>
      <c r="F573" s="2">
        <v>3.3295351999999999E-3</v>
      </c>
    </row>
    <row r="574" spans="1:6" x14ac:dyDescent="0.25">
      <c r="A574" t="s">
        <v>6</v>
      </c>
      <c r="B574" s="5" t="str">
        <f>HYPERLINK("http://www.broadinstitute.org/gsea/msigdb/cards/GOBP_NEGATIVE_REGULATION_OF_BONE_REMODELING.html","GOBP_NEGATIVE_REGULATION_OF_BONE_REMODELING")</f>
        <v>GOBP_NEGATIVE_REGULATION_OF_BONE_REMODELING</v>
      </c>
      <c r="C574" s="4">
        <v>17</v>
      </c>
      <c r="D574" s="3">
        <v>1.8822049999999999</v>
      </c>
      <c r="E574" s="1">
        <v>1.8018018000000001E-3</v>
      </c>
      <c r="F574" s="2">
        <v>3.3502359999999999E-3</v>
      </c>
    </row>
    <row r="575" spans="1:6" x14ac:dyDescent="0.25">
      <c r="A575" t="s">
        <v>10</v>
      </c>
      <c r="B575" s="5" t="str">
        <f>HYPERLINK("http://www.broadinstitute.org/gsea/msigdb/cards/REACTOME_INITIAL_TRIGGERING_OF_COMPLEMENT.html","REACTOME_INITIAL_TRIGGERING_OF_COMPLEMENT")</f>
        <v>REACTOME_INITIAL_TRIGGERING_OF_COMPLEMENT</v>
      </c>
      <c r="C575" s="4">
        <v>21</v>
      </c>
      <c r="D575" s="3">
        <v>1.8815706999999999</v>
      </c>
      <c r="E575" s="1">
        <v>3.4965034999999999E-3</v>
      </c>
      <c r="F575" s="2">
        <v>3.3747019999999998E-3</v>
      </c>
    </row>
    <row r="576" spans="1:6" x14ac:dyDescent="0.25">
      <c r="A576" t="s">
        <v>6</v>
      </c>
      <c r="B576" s="5" t="str">
        <f>HYPERLINK("http://www.broadinstitute.org/gsea/msigdb/cards/GOBP_INFLAMMATORY_CELL_APOPTOTIC_PROCESS.html","GOBP_INFLAMMATORY_CELL_APOPTOTIC_PROCESS")</f>
        <v>GOBP_INFLAMMATORY_CELL_APOPTOTIC_PROCESS</v>
      </c>
      <c r="C576" s="4">
        <v>28</v>
      </c>
      <c r="D576" s="3">
        <v>1.8813682</v>
      </c>
      <c r="E576" s="1">
        <v>0</v>
      </c>
      <c r="F576" s="2">
        <v>3.3782782999999999E-3</v>
      </c>
    </row>
    <row r="577" spans="1:6" x14ac:dyDescent="0.25">
      <c r="A577" t="s">
        <v>10</v>
      </c>
      <c r="B577" s="5" t="str">
        <f>HYPERLINK("http://www.broadinstitute.org/gsea/msigdb/cards/REACTOME_BINDING_AND_UPTAKE_OF_LIGANDS_BY_SCAVENGER_RECEPTORS.html","REACTOME_BINDING_AND_UPTAKE_OF_LIGANDS_BY_SCAVENGER_RECEPTORS")</f>
        <v>REACTOME_BINDING_AND_UPTAKE_OF_LIGANDS_BY_SCAVENGER_RECEPTORS</v>
      </c>
      <c r="C577" s="4">
        <v>33</v>
      </c>
      <c r="D577" s="3">
        <v>1.8804116</v>
      </c>
      <c r="E577" s="1">
        <v>0</v>
      </c>
      <c r="F577" s="2">
        <v>3.4101217000000001E-3</v>
      </c>
    </row>
    <row r="578" spans="1:6" x14ac:dyDescent="0.25">
      <c r="A578" t="s">
        <v>6</v>
      </c>
      <c r="B578" s="5" t="str">
        <f>HYPERLINK("http://www.broadinstitute.org/gsea/msigdb/cards/GOBP_REGULATION_OF_ENDOTHELIAL_CELL_MIGRATION.html","GOBP_REGULATION_OF_ENDOTHELIAL_CELL_MIGRATION")</f>
        <v>GOBP_REGULATION_OF_ENDOTHELIAL_CELL_MIGRATION</v>
      </c>
      <c r="C578" s="4">
        <v>172</v>
      </c>
      <c r="D578" s="3">
        <v>1.8800874999999999</v>
      </c>
      <c r="E578" s="1">
        <v>0</v>
      </c>
      <c r="F578" s="2">
        <v>3.4192246E-3</v>
      </c>
    </row>
    <row r="579" spans="1:6" x14ac:dyDescent="0.25">
      <c r="A579" t="s">
        <v>6</v>
      </c>
      <c r="B579" s="5" t="str">
        <f>HYPERLINK("http://www.broadinstitute.org/gsea/msigdb/cards/GOBP_POSITIVE_REGULATION_OF_MYOBLAST_FUSION.html","GOBP_POSITIVE_REGULATION_OF_MYOBLAST_FUSION")</f>
        <v>GOBP_POSITIVE_REGULATION_OF_MYOBLAST_FUSION</v>
      </c>
      <c r="C579" s="4">
        <v>19</v>
      </c>
      <c r="D579" s="3">
        <v>1.8799486000000001</v>
      </c>
      <c r="E579" s="1">
        <v>1.7211704000000001E-3</v>
      </c>
      <c r="F579" s="2">
        <v>3.4263798000000001E-3</v>
      </c>
    </row>
    <row r="580" spans="1:6" x14ac:dyDescent="0.25">
      <c r="A580" t="s">
        <v>7</v>
      </c>
      <c r="B580" s="5" t="str">
        <f>HYPERLINK("http://www.broadinstitute.org/gsea/msigdb/cards/GOCC_GOLGI_APPARATUS_SUBCOMPARTMENT.html","GOCC_GOLGI_APPARATUS_SUBCOMPARTMENT")</f>
        <v>GOCC_GOLGI_APPARATUS_SUBCOMPARTMENT</v>
      </c>
      <c r="C580" s="4">
        <v>316</v>
      </c>
      <c r="D580" s="3">
        <v>1.8794173999999999</v>
      </c>
      <c r="E580" s="1">
        <v>0</v>
      </c>
      <c r="F580" s="2">
        <v>3.45043E-3</v>
      </c>
    </row>
    <row r="581" spans="1:6" x14ac:dyDescent="0.25">
      <c r="A581" t="s">
        <v>10</v>
      </c>
      <c r="B581" s="5" t="str">
        <f>HYPERLINK("http://www.broadinstitute.org/gsea/msigdb/cards/REACTOME_CTLA4_INHIBITORY_SIGNALING.html","REACTOME_CTLA4_INHIBITORY_SIGNALING")</f>
        <v>REACTOME_CTLA4_INHIBITORY_SIGNALING</v>
      </c>
      <c r="C581" s="4">
        <v>21</v>
      </c>
      <c r="D581" s="3">
        <v>1.8770853000000001</v>
      </c>
      <c r="E581" s="1">
        <v>1.7006802000000001E-3</v>
      </c>
      <c r="F581" s="2">
        <v>3.5660780999999999E-3</v>
      </c>
    </row>
    <row r="582" spans="1:6" x14ac:dyDescent="0.25">
      <c r="A582" t="s">
        <v>10</v>
      </c>
      <c r="B582" s="5" t="str">
        <f>HYPERLINK("http://www.broadinstitute.org/gsea/msigdb/cards/REACTOME_NON_INTEGRIN_MEMBRANE_ECM_INTERACTIONS.html","REACTOME_NON_INTEGRIN_MEMBRANE_ECM_INTERACTIONS")</f>
        <v>REACTOME_NON_INTEGRIN_MEMBRANE_ECM_INTERACTIONS</v>
      </c>
      <c r="C582" s="4">
        <v>30</v>
      </c>
      <c r="D582" s="3">
        <v>1.8770281</v>
      </c>
      <c r="E582" s="1">
        <v>0</v>
      </c>
      <c r="F582" s="2">
        <v>3.5655362999999999E-3</v>
      </c>
    </row>
    <row r="583" spans="1:6" x14ac:dyDescent="0.25">
      <c r="A583" t="s">
        <v>6</v>
      </c>
      <c r="B583" s="5" t="str">
        <f>HYPERLINK("http://www.broadinstitute.org/gsea/msigdb/cards/GOBP_CGMP_MEDIATED_SIGNALING.html","GOBP_CGMP_MEDIATED_SIGNALING")</f>
        <v>GOBP_CGMP_MEDIATED_SIGNALING</v>
      </c>
      <c r="C583" s="4">
        <v>33</v>
      </c>
      <c r="D583" s="3">
        <v>1.8745856000000001</v>
      </c>
      <c r="E583" s="1">
        <v>1.5948963E-3</v>
      </c>
      <c r="F583" s="2">
        <v>3.6678638000000002E-3</v>
      </c>
    </row>
    <row r="584" spans="1:6" x14ac:dyDescent="0.25">
      <c r="A584" t="s">
        <v>6</v>
      </c>
      <c r="B584" s="5" t="str">
        <f>HYPERLINK("http://www.broadinstitute.org/gsea/msigdb/cards/GOBP_REGULATION_OF_TOLERANCE_INDUCTION.html","GOBP_REGULATION_OF_TOLERANCE_INDUCTION")</f>
        <v>GOBP_REGULATION_OF_TOLERANCE_INDUCTION</v>
      </c>
      <c r="C584" s="4">
        <v>20</v>
      </c>
      <c r="D584" s="3">
        <v>1.8741779999999999</v>
      </c>
      <c r="E584" s="1">
        <v>1.7064846000000001E-3</v>
      </c>
      <c r="F584" s="2">
        <v>3.6857560000000001E-3</v>
      </c>
    </row>
    <row r="585" spans="1:6" x14ac:dyDescent="0.25">
      <c r="A585" t="s">
        <v>8</v>
      </c>
      <c r="B585" s="5" t="str">
        <f>HYPERLINK("http://www.broadinstitute.org/gsea/msigdb/cards/GOMF_CCR_CHEMOKINE_RECEPTOR_BINDING.html","GOMF_CCR_CHEMOKINE_RECEPTOR_BINDING")</f>
        <v>GOMF_CCR_CHEMOKINE_RECEPTOR_BINDING</v>
      </c>
      <c r="C585" s="4">
        <v>40</v>
      </c>
      <c r="D585" s="3">
        <v>1.8741528000000001</v>
      </c>
      <c r="E585" s="1">
        <v>0</v>
      </c>
      <c r="F585" s="2">
        <v>3.6812779E-3</v>
      </c>
    </row>
    <row r="586" spans="1:6" x14ac:dyDescent="0.25">
      <c r="A586" t="s">
        <v>6</v>
      </c>
      <c r="B586" s="5" t="str">
        <f>HYPERLINK("http://www.broadinstitute.org/gsea/msigdb/cards/GOBP_XENOPHAGY.html","GOBP_XENOPHAGY")</f>
        <v>GOBP_XENOPHAGY</v>
      </c>
      <c r="C586" s="4">
        <v>16</v>
      </c>
      <c r="D586" s="3">
        <v>1.8740456000000001</v>
      </c>
      <c r="E586" s="1">
        <v>0</v>
      </c>
      <c r="F586" s="2">
        <v>3.6749635E-3</v>
      </c>
    </row>
    <row r="587" spans="1:6" x14ac:dyDescent="0.25">
      <c r="A587" t="s">
        <v>6</v>
      </c>
      <c r="B587" s="5" t="str">
        <f>HYPERLINK("http://www.broadinstitute.org/gsea/msigdb/cards/GOBP_REGULATION_OF_DEFENSE_RESPONSE_TO_VIRUS_BY_HOST.html","GOBP_REGULATION_OF_DEFENSE_RESPONSE_TO_VIRUS_BY_HOST")</f>
        <v>GOBP_REGULATION_OF_DEFENSE_RESPONSE_TO_VIRUS_BY_HOST</v>
      </c>
      <c r="C587" s="4">
        <v>43</v>
      </c>
      <c r="D587" s="3">
        <v>1.8735173000000001</v>
      </c>
      <c r="E587" s="1">
        <v>0</v>
      </c>
      <c r="F587" s="2">
        <v>3.6983345999999999E-3</v>
      </c>
    </row>
    <row r="588" spans="1:6" x14ac:dyDescent="0.25">
      <c r="A588" t="s">
        <v>6</v>
      </c>
      <c r="B588" s="5" t="str">
        <f>HYPERLINK("http://www.broadinstitute.org/gsea/msigdb/cards/GOBP_ASTROCYTE_ACTIVATION.html","GOBP_ASTROCYTE_ACTIVATION")</f>
        <v>GOBP_ASTROCYTE_ACTIVATION</v>
      </c>
      <c r="C588" s="4">
        <v>21</v>
      </c>
      <c r="D588" s="3">
        <v>1.8724548000000001</v>
      </c>
      <c r="E588" s="1">
        <v>0</v>
      </c>
      <c r="F588" s="2">
        <v>3.7420754999999998E-3</v>
      </c>
    </row>
    <row r="589" spans="1:6" x14ac:dyDescent="0.25">
      <c r="A589" t="s">
        <v>6</v>
      </c>
      <c r="B589" s="5" t="str">
        <f>HYPERLINK("http://www.broadinstitute.org/gsea/msigdb/cards/GOBP_POSITIVE_REGULATION_OF_MEMBRANE_PROTEIN_ECTODOMAIN_PROTEOLYSIS.html","GOBP_POSITIVE_REGULATION_OF_MEMBRANE_PROTEIN_ECTODOMAIN_PROTEOLYSIS")</f>
        <v>GOBP_POSITIVE_REGULATION_OF_MEMBRANE_PROTEIN_ECTODOMAIN_PROTEOLYSIS</v>
      </c>
      <c r="C589" s="4">
        <v>16</v>
      </c>
      <c r="D589" s="3">
        <v>1.8723776000000001</v>
      </c>
      <c r="E589" s="1">
        <v>0</v>
      </c>
      <c r="F589" s="2">
        <v>3.7356897000000002E-3</v>
      </c>
    </row>
    <row r="590" spans="1:6" x14ac:dyDescent="0.25">
      <c r="A590" t="s">
        <v>6</v>
      </c>
      <c r="B590" s="5" t="str">
        <f>HYPERLINK("http://www.broadinstitute.org/gsea/msigdb/cards/GOBP_LEUKOCYTE_DEGRANULATION.html","GOBP_LEUKOCYTE_DEGRANULATION")</f>
        <v>GOBP_LEUKOCYTE_DEGRANULATION</v>
      </c>
      <c r="C590" s="4">
        <v>86</v>
      </c>
      <c r="D590" s="3">
        <v>1.8720954999999999</v>
      </c>
      <c r="E590" s="1">
        <v>0</v>
      </c>
      <c r="F590" s="2">
        <v>3.7404032999999999E-3</v>
      </c>
    </row>
    <row r="591" spans="1:6" x14ac:dyDescent="0.25">
      <c r="A591" t="s">
        <v>6</v>
      </c>
      <c r="B591" s="5" t="str">
        <f>HYPERLINK("http://www.broadinstitute.org/gsea/msigdb/cards/GOBP_FIBROBLAST_MIGRATION.html","GOBP_FIBROBLAST_MIGRATION")</f>
        <v>GOBP_FIBROBLAST_MIGRATION</v>
      </c>
      <c r="C591" s="4">
        <v>72</v>
      </c>
      <c r="D591" s="3">
        <v>1.8716341000000001</v>
      </c>
      <c r="E591" s="1">
        <v>0</v>
      </c>
      <c r="F591" s="2">
        <v>3.7673279999999999E-3</v>
      </c>
    </row>
    <row r="592" spans="1:6" x14ac:dyDescent="0.25">
      <c r="A592" t="s">
        <v>9</v>
      </c>
      <c r="B592" s="5" t="str">
        <f>HYPERLINK("http://www.broadinstitute.org/gsea/msigdb/cards/HALLMARK_XENOBIOTIC_METABOLISM.html","HALLMARK_XENOBIOTIC_METABOLISM")</f>
        <v>HALLMARK_XENOBIOTIC_METABOLISM</v>
      </c>
      <c r="C592" s="4">
        <v>194</v>
      </c>
      <c r="D592" s="3">
        <v>1.8714842</v>
      </c>
      <c r="E592" s="1">
        <v>0</v>
      </c>
      <c r="F592" s="2">
        <v>3.7664249999999999E-3</v>
      </c>
    </row>
    <row r="593" spans="1:6" x14ac:dyDescent="0.25">
      <c r="A593" t="s">
        <v>6</v>
      </c>
      <c r="B593" s="5" t="str">
        <f>HYPERLINK("http://www.broadinstitute.org/gsea/msigdb/cards/GOBP_REGULATION_OF_HOMOTYPIC_CELL_CELL_ADHESION.html","GOBP_REGULATION_OF_HOMOTYPIC_CELL_CELL_ADHESION")</f>
        <v>GOBP_REGULATION_OF_HOMOTYPIC_CELL_CELL_ADHESION</v>
      </c>
      <c r="C593" s="4">
        <v>35</v>
      </c>
      <c r="D593" s="3">
        <v>1.8703698</v>
      </c>
      <c r="E593" s="1">
        <v>0</v>
      </c>
      <c r="F593" s="2">
        <v>3.83002E-3</v>
      </c>
    </row>
    <row r="594" spans="1:6" x14ac:dyDescent="0.25">
      <c r="A594" t="s">
        <v>6</v>
      </c>
      <c r="B594" s="5" t="str">
        <f>HYPERLINK("http://www.broadinstitute.org/gsea/msigdb/cards/GOBP_POSITIVE_REGULATION_OF_CANONICAL_NF_KAPPAB_SIGNAL_TRANSDUCTION.html","GOBP_POSITIVE_REGULATION_OF_CANONICAL_NF_KAPPAB_SIGNAL_TRANSDUCTION")</f>
        <v>GOBP_POSITIVE_REGULATION_OF_CANONICAL_NF_KAPPAB_SIGNAL_TRANSDUCTION</v>
      </c>
      <c r="C594" s="4">
        <v>135</v>
      </c>
      <c r="D594" s="3">
        <v>1.8698771000000001</v>
      </c>
      <c r="E594" s="1">
        <v>0</v>
      </c>
      <c r="F594" s="2">
        <v>3.8437826999999998E-3</v>
      </c>
    </row>
    <row r="595" spans="1:6" x14ac:dyDescent="0.25">
      <c r="A595" t="s">
        <v>8</v>
      </c>
      <c r="B595" s="5" t="str">
        <f>HYPERLINK("http://www.broadinstitute.org/gsea/msigdb/cards/GOMF_FIBRONECTIN_BINDING.html","GOMF_FIBRONECTIN_BINDING")</f>
        <v>GOMF_FIBRONECTIN_BINDING</v>
      </c>
      <c r="C595" s="4">
        <v>36</v>
      </c>
      <c r="D595" s="3">
        <v>1.8698229</v>
      </c>
      <c r="E595" s="1">
        <v>1.7123288E-3</v>
      </c>
      <c r="F595" s="2">
        <v>3.8391113999999998E-3</v>
      </c>
    </row>
    <row r="596" spans="1:6" x14ac:dyDescent="0.25">
      <c r="A596" t="s">
        <v>11</v>
      </c>
      <c r="B596" s="5" t="str">
        <f>HYPERLINK("http://www.broadinstitute.org/gsea/msigdb/cards/WP_COMPLEMENT_ACTIVATION_CLASSICAL_PATHWAY.html","WP_COMPLEMENT_ACTIVATION_CLASSICAL_PATHWAY")</f>
        <v>WP_COMPLEMENT_ACTIVATION_CLASSICAL_PATHWAY</v>
      </c>
      <c r="C596" s="4">
        <v>16</v>
      </c>
      <c r="D596" s="3">
        <v>1.8696907</v>
      </c>
      <c r="E596" s="1">
        <v>0</v>
      </c>
      <c r="F596" s="2">
        <v>3.8362564999999999E-3</v>
      </c>
    </row>
    <row r="597" spans="1:6" x14ac:dyDescent="0.25">
      <c r="A597" t="s">
        <v>10</v>
      </c>
      <c r="B597" s="5" t="str">
        <f>HYPERLINK("http://www.broadinstitute.org/gsea/msigdb/cards/REACTOME_FCERI_MEDIATED_CA_2_MOBILIZATION.html","REACTOME_FCERI_MEDIATED_CA_2_MOBILIZATION")</f>
        <v>REACTOME_FCERI_MEDIATED_CA_2_MOBILIZATION</v>
      </c>
      <c r="C597" s="4">
        <v>29</v>
      </c>
      <c r="D597" s="3">
        <v>1.8696364000000001</v>
      </c>
      <c r="E597" s="1">
        <v>0</v>
      </c>
      <c r="F597" s="2">
        <v>3.831634E-3</v>
      </c>
    </row>
    <row r="598" spans="1:6" x14ac:dyDescent="0.25">
      <c r="A598" t="s">
        <v>6</v>
      </c>
      <c r="B598" s="5" t="str">
        <f>HYPERLINK("http://www.broadinstitute.org/gsea/msigdb/cards/GOBP_RESPONSE_TO_PEPTIDE.html","GOBP_RESPONSE_TO_PEPTIDE")</f>
        <v>GOBP_RESPONSE_TO_PEPTIDE</v>
      </c>
      <c r="C598" s="4">
        <v>440</v>
      </c>
      <c r="D598" s="3">
        <v>1.8677368000000001</v>
      </c>
      <c r="E598" s="1">
        <v>0</v>
      </c>
      <c r="F598" s="2">
        <v>3.9342450000000003E-3</v>
      </c>
    </row>
    <row r="599" spans="1:6" x14ac:dyDescent="0.25">
      <c r="A599" t="s">
        <v>10</v>
      </c>
      <c r="B599" s="5" t="str">
        <f>HYPERLINK("http://www.broadinstitute.org/gsea/msigdb/cards/REACTOME_NICOTINATE_METABOLISM.html","REACTOME_NICOTINATE_METABOLISM")</f>
        <v>REACTOME_NICOTINATE_METABOLISM</v>
      </c>
      <c r="C599" s="4">
        <v>30</v>
      </c>
      <c r="D599" s="3">
        <v>1.8671049</v>
      </c>
      <c r="E599" s="1">
        <v>1.7006802000000001E-3</v>
      </c>
      <c r="F599" s="2">
        <v>3.9712386000000004E-3</v>
      </c>
    </row>
    <row r="600" spans="1:6" x14ac:dyDescent="0.25">
      <c r="A600" t="s">
        <v>6</v>
      </c>
      <c r="B600" s="5" t="str">
        <f>HYPERLINK("http://www.broadinstitute.org/gsea/msigdb/cards/GOBP_ENDOPLASMIC_RETICULUM_TO_GOLGI_VESICLE_MEDIATED_TRANSPORT.html","GOBP_ENDOPLASMIC_RETICULUM_TO_GOLGI_VESICLE_MEDIATED_TRANSPORT")</f>
        <v>GOBP_ENDOPLASMIC_RETICULUM_TO_GOLGI_VESICLE_MEDIATED_TRANSPORT</v>
      </c>
      <c r="C600" s="4">
        <v>122</v>
      </c>
      <c r="D600" s="3">
        <v>1.8661964</v>
      </c>
      <c r="E600" s="1">
        <v>0</v>
      </c>
      <c r="F600" s="2">
        <v>4.0190573999999996E-3</v>
      </c>
    </row>
    <row r="601" spans="1:6" x14ac:dyDescent="0.25">
      <c r="A601" t="s">
        <v>6</v>
      </c>
      <c r="B601" s="5" t="str">
        <f>HYPERLINK("http://www.broadinstitute.org/gsea/msigdb/cards/GOBP_ANGIOGENESIS_INVOLVED_IN_WOUND_HEALING.html","GOBP_ANGIOGENESIS_INVOLVED_IN_WOUND_HEALING")</f>
        <v>GOBP_ANGIOGENESIS_INVOLVED_IN_WOUND_HEALING</v>
      </c>
      <c r="C601" s="4">
        <v>25</v>
      </c>
      <c r="D601" s="3">
        <v>1.8655877000000001</v>
      </c>
      <c r="E601" s="1">
        <v>3.3444816E-3</v>
      </c>
      <c r="F601" s="2">
        <v>4.0378790000000003E-3</v>
      </c>
    </row>
    <row r="602" spans="1:6" x14ac:dyDescent="0.25">
      <c r="A602" t="s">
        <v>7</v>
      </c>
      <c r="B602" s="5" t="str">
        <f>HYPERLINK("http://www.broadinstitute.org/gsea/msigdb/cards/GOCC_RECYCLING_ENDOSOME.html","GOCC_RECYCLING_ENDOSOME")</f>
        <v>GOCC_RECYCLING_ENDOSOME</v>
      </c>
      <c r="C602" s="4">
        <v>161</v>
      </c>
      <c r="D602" s="3">
        <v>1.8652736000000001</v>
      </c>
      <c r="E602" s="1">
        <v>0</v>
      </c>
      <c r="F602" s="2">
        <v>4.0383750000000003E-3</v>
      </c>
    </row>
    <row r="603" spans="1:6" x14ac:dyDescent="0.25">
      <c r="A603" t="s">
        <v>8</v>
      </c>
      <c r="B603" s="5" t="str">
        <f>HYPERLINK("http://www.broadinstitute.org/gsea/msigdb/cards/GOMF_PHOSPHATIDYLINOSITOL_3_4_5_TRISPHOSPHATE_BINDING.html","GOMF_PHOSPHATIDYLINOSITOL_3_4_5_TRISPHOSPHATE_BINDING")</f>
        <v>GOMF_PHOSPHATIDYLINOSITOL_3_4_5_TRISPHOSPHATE_BINDING</v>
      </c>
      <c r="C603" s="4">
        <v>45</v>
      </c>
      <c r="D603" s="3">
        <v>1.8651793000000001</v>
      </c>
      <c r="E603" s="1">
        <v>1.7064846000000001E-3</v>
      </c>
      <c r="F603" s="2">
        <v>4.0406829999999998E-3</v>
      </c>
    </row>
    <row r="604" spans="1:6" x14ac:dyDescent="0.25">
      <c r="A604" t="s">
        <v>6</v>
      </c>
      <c r="B604" s="5" t="str">
        <f>HYPERLINK("http://www.broadinstitute.org/gsea/msigdb/cards/GOBP_COMPLEMENT_ACTIVATION_CLASSICAL_PATHWAY.html","GOBP_COMPLEMENT_ACTIVATION_CLASSICAL_PATHWAY")</f>
        <v>GOBP_COMPLEMENT_ACTIVATION_CLASSICAL_PATHWAY</v>
      </c>
      <c r="C604" s="4">
        <v>29</v>
      </c>
      <c r="D604" s="3">
        <v>1.8644548999999999</v>
      </c>
      <c r="E604" s="1">
        <v>0</v>
      </c>
      <c r="F604" s="2">
        <v>4.0717506999999997E-3</v>
      </c>
    </row>
    <row r="605" spans="1:6" x14ac:dyDescent="0.25">
      <c r="A605" t="s">
        <v>6</v>
      </c>
      <c r="B605" s="5" t="str">
        <f>HYPERLINK("http://www.broadinstitute.org/gsea/msigdb/cards/GOBP_VASCULAR_WOUND_HEALING.html","GOBP_VASCULAR_WOUND_HEALING")</f>
        <v>GOBP_VASCULAR_WOUND_HEALING</v>
      </c>
      <c r="C605" s="4">
        <v>18</v>
      </c>
      <c r="D605" s="3">
        <v>1.8641026000000001</v>
      </c>
      <c r="E605" s="1">
        <v>1.7482517E-3</v>
      </c>
      <c r="F605" s="2">
        <v>4.0775669999999998E-3</v>
      </c>
    </row>
    <row r="606" spans="1:6" x14ac:dyDescent="0.25">
      <c r="A606" t="s">
        <v>6</v>
      </c>
      <c r="B606" s="5" t="str">
        <f>HYPERLINK("http://www.broadinstitute.org/gsea/msigdb/cards/GOBP_TRANSFORMING_GROWTH_FACTOR_BETA1_PRODUCTION.html","GOBP_TRANSFORMING_GROWTH_FACTOR_BETA1_PRODUCTION")</f>
        <v>GOBP_TRANSFORMING_GROWTH_FACTOR_BETA1_PRODUCTION</v>
      </c>
      <c r="C606" s="4">
        <v>15</v>
      </c>
      <c r="D606" s="3">
        <v>1.8638376000000001</v>
      </c>
      <c r="E606" s="1">
        <v>1.7301039000000001E-3</v>
      </c>
      <c r="F606" s="2">
        <v>4.0761963000000003E-3</v>
      </c>
    </row>
    <row r="607" spans="1:6" x14ac:dyDescent="0.25">
      <c r="A607" t="s">
        <v>6</v>
      </c>
      <c r="B607" s="5" t="str">
        <f>HYPERLINK("http://www.broadinstitute.org/gsea/msigdb/cards/GOBP_DENDRITIC_CELL_MIGRATION.html","GOBP_DENDRITIC_CELL_MIGRATION")</f>
        <v>GOBP_DENDRITIC_CELL_MIGRATION</v>
      </c>
      <c r="C607" s="4">
        <v>24</v>
      </c>
      <c r="D607" s="3">
        <v>1.8637899</v>
      </c>
      <c r="E607" s="1">
        <v>1.7152659E-3</v>
      </c>
      <c r="F607" s="2">
        <v>4.0730280000000002E-3</v>
      </c>
    </row>
    <row r="608" spans="1:6" x14ac:dyDescent="0.25">
      <c r="A608" t="s">
        <v>6</v>
      </c>
      <c r="B608" s="5" t="str">
        <f>HYPERLINK("http://www.broadinstitute.org/gsea/msigdb/cards/GOBP_NEGATIVE_REGULATION_OF_RESPONSE_TO_BIOTIC_STIMULUS.html","GOBP_NEGATIVE_REGULATION_OF_RESPONSE_TO_BIOTIC_STIMULUS")</f>
        <v>GOBP_NEGATIVE_REGULATION_OF_RESPONSE_TO_BIOTIC_STIMULUS</v>
      </c>
      <c r="C608" s="4">
        <v>155</v>
      </c>
      <c r="D608" s="3">
        <v>1.8634075999999999</v>
      </c>
      <c r="E608" s="1">
        <v>0</v>
      </c>
      <c r="F608" s="2">
        <v>4.0912500000000003E-3</v>
      </c>
    </row>
    <row r="609" spans="1:6" x14ac:dyDescent="0.25">
      <c r="A609" t="s">
        <v>6</v>
      </c>
      <c r="B609" s="5" t="str">
        <f>HYPERLINK("http://www.broadinstitute.org/gsea/msigdb/cards/GOBP_REGULATION_OF_VIRAL_LIFE_CYCLE.html","GOBP_REGULATION_OF_VIRAL_LIFE_CYCLE")</f>
        <v>GOBP_REGULATION_OF_VIRAL_LIFE_CYCLE</v>
      </c>
      <c r="C609" s="4">
        <v>143</v>
      </c>
      <c r="D609" s="3">
        <v>1.8632835999999999</v>
      </c>
      <c r="E609" s="1">
        <v>0</v>
      </c>
      <c r="F609" s="2">
        <v>4.0934392999999996E-3</v>
      </c>
    </row>
    <row r="610" spans="1:6" x14ac:dyDescent="0.25">
      <c r="A610" t="s">
        <v>6</v>
      </c>
      <c r="B610" s="5" t="str">
        <f>HYPERLINK("http://www.broadinstitute.org/gsea/msigdb/cards/GOBP_PROGRAMMED_NECROTIC_CELL_DEATH.html","GOBP_PROGRAMMED_NECROTIC_CELL_DEATH")</f>
        <v>GOBP_PROGRAMMED_NECROTIC_CELL_DEATH</v>
      </c>
      <c r="C610" s="4">
        <v>51</v>
      </c>
      <c r="D610" s="3">
        <v>1.862695</v>
      </c>
      <c r="E610" s="1">
        <v>0</v>
      </c>
      <c r="F610" s="2">
        <v>4.1206395000000003E-3</v>
      </c>
    </row>
    <row r="611" spans="1:6" x14ac:dyDescent="0.25">
      <c r="A611" t="s">
        <v>10</v>
      </c>
      <c r="B611" s="5" t="str">
        <f>HYPERLINK("http://www.broadinstitute.org/gsea/msigdb/cards/REACTOME_RESPONSE_TO_ELEVATED_PLATELET_CYTOSOLIC_CA2.html","REACTOME_RESPONSE_TO_ELEVATED_PLATELET_CYTOSOLIC_CA2")</f>
        <v>REACTOME_RESPONSE_TO_ELEVATED_PLATELET_CYTOSOLIC_CA2</v>
      </c>
      <c r="C611" s="4">
        <v>126</v>
      </c>
      <c r="D611" s="3">
        <v>1.8619650000000001</v>
      </c>
      <c r="E611" s="1">
        <v>0</v>
      </c>
      <c r="F611" s="2">
        <v>4.1547229999999999E-3</v>
      </c>
    </row>
    <row r="612" spans="1:6" x14ac:dyDescent="0.25">
      <c r="A612" t="s">
        <v>6</v>
      </c>
      <c r="B612" s="5" t="str">
        <f>HYPERLINK("http://www.broadinstitute.org/gsea/msigdb/cards/GOBP_REGULATION_OF_LYMPHOCYTE_CHEMOTAXIS.html","GOBP_REGULATION_OF_LYMPHOCYTE_CHEMOTAXIS")</f>
        <v>GOBP_REGULATION_OF_LYMPHOCYTE_CHEMOTAXIS</v>
      </c>
      <c r="C612" s="4">
        <v>21</v>
      </c>
      <c r="D612" s="3">
        <v>1.8614476</v>
      </c>
      <c r="E612" s="1">
        <v>3.3670033E-3</v>
      </c>
      <c r="F612" s="2">
        <v>4.1746752999999998E-3</v>
      </c>
    </row>
    <row r="613" spans="1:6" x14ac:dyDescent="0.25">
      <c r="A613" t="s">
        <v>6</v>
      </c>
      <c r="B613" s="5" t="str">
        <f>HYPERLINK("http://www.broadinstitute.org/gsea/msigdb/cards/GOBP_CELL_MATRIX_ADHESION.html","GOBP_CELL_MATRIX_ADHESION")</f>
        <v>GOBP_CELL_MATRIX_ADHESION</v>
      </c>
      <c r="C613" s="4">
        <v>232</v>
      </c>
      <c r="D613" s="3">
        <v>1.8610651</v>
      </c>
      <c r="E613" s="1">
        <v>0</v>
      </c>
      <c r="F613" s="2">
        <v>4.1890920000000002E-3</v>
      </c>
    </row>
    <row r="614" spans="1:6" x14ac:dyDescent="0.25">
      <c r="A614" t="s">
        <v>6</v>
      </c>
      <c r="B614" s="5" t="str">
        <f>HYPERLINK("http://www.broadinstitute.org/gsea/msigdb/cards/GOBP_REGULATION_OF_PLATELET_AGGREGATION.html","GOBP_REGULATION_OF_PLATELET_AGGREGATION")</f>
        <v>GOBP_REGULATION_OF_PLATELET_AGGREGATION</v>
      </c>
      <c r="C614" s="4">
        <v>24</v>
      </c>
      <c r="D614" s="3">
        <v>1.8601048</v>
      </c>
      <c r="E614" s="1">
        <v>1.7152659E-3</v>
      </c>
      <c r="F614" s="2">
        <v>4.2301029999999998E-3</v>
      </c>
    </row>
    <row r="615" spans="1:6" x14ac:dyDescent="0.25">
      <c r="A615" t="s">
        <v>11</v>
      </c>
      <c r="B615" s="5" t="str">
        <f>HYPERLINK("http://www.broadinstitute.org/gsea/msigdb/cards/WP_CYTOKINES_AND_INFLAMMATORY_RESPONSE.html","WP_CYTOKINES_AND_INFLAMMATORY_RESPONSE")</f>
        <v>WP_CYTOKINES_AND_INFLAMMATORY_RESPONSE</v>
      </c>
      <c r="C615" s="4">
        <v>24</v>
      </c>
      <c r="D615" s="3">
        <v>1.8599068000000001</v>
      </c>
      <c r="E615" s="1">
        <v>0</v>
      </c>
      <c r="F615" s="2">
        <v>4.2319977999999998E-3</v>
      </c>
    </row>
    <row r="616" spans="1:6" x14ac:dyDescent="0.25">
      <c r="A616" t="s">
        <v>6</v>
      </c>
      <c r="B616" s="5" t="str">
        <f>HYPERLINK("http://www.broadinstitute.org/gsea/msigdb/cards/GOBP_REGULATION_OF_COAGULATION.html","GOBP_REGULATION_OF_COAGULATION")</f>
        <v>GOBP_REGULATION_OF_COAGULATION</v>
      </c>
      <c r="C616" s="4">
        <v>70</v>
      </c>
      <c r="D616" s="3">
        <v>1.8598756000000001</v>
      </c>
      <c r="E616" s="1">
        <v>0</v>
      </c>
      <c r="F616" s="2">
        <v>4.226881E-3</v>
      </c>
    </row>
    <row r="617" spans="1:6" x14ac:dyDescent="0.25">
      <c r="A617" t="s">
        <v>10</v>
      </c>
      <c r="B617" s="5" t="str">
        <f>HYPERLINK("http://www.broadinstitute.org/gsea/msigdb/cards/REACTOME_REGULATION_OF_INSULIN_LIKE_GROWTH_FACTOR_IGF_TRANSPORT_AND_UPTAKE_BY_INSULIN_LIKE_GROWTH_FACTOR_BINDING_PROTEINS_IGFBPS.html","REACTOME_REGULATION_OF_INSULIN_LIKE_GROWTH_FACTOR_IGF_TRANSPORT_AND_UPTAKE_BY_INSULIN_LIKE_GROWTH_FACTOR_BINDING_PROTEINS_IGFBPS")</f>
        <v>REACTOME_REGULATION_OF_INSULIN_LIKE_GROWTH_FACTOR_IGF_TRANSPORT_AND_UPTAKE_BY_INSULIN_LIKE_GROWTH_FACTOR_BINDING_PROTEINS_IGFBPS</v>
      </c>
      <c r="C617" s="4">
        <v>114</v>
      </c>
      <c r="D617" s="3">
        <v>1.8598108</v>
      </c>
      <c r="E617" s="1">
        <v>0</v>
      </c>
      <c r="F617" s="2">
        <v>4.2217649999999997E-3</v>
      </c>
    </row>
    <row r="618" spans="1:6" x14ac:dyDescent="0.25">
      <c r="A618" t="s">
        <v>6</v>
      </c>
      <c r="B618" s="5" t="str">
        <f>HYPERLINK("http://www.broadinstitute.org/gsea/msigdb/cards/GOBP_REACTIVE_OXYGEN_SPECIES_METABOLIC_PROCESS.html","GOBP_REACTIVE_OXYGEN_SPECIES_METABOLIC_PROCESS")</f>
        <v>GOBP_REACTIVE_OXYGEN_SPECIES_METABOLIC_PROCESS</v>
      </c>
      <c r="C618" s="4">
        <v>240</v>
      </c>
      <c r="D618" s="3">
        <v>1.8593447000000001</v>
      </c>
      <c r="E618" s="1">
        <v>0</v>
      </c>
      <c r="F618" s="2">
        <v>4.2430614000000004E-3</v>
      </c>
    </row>
    <row r="619" spans="1:6" x14ac:dyDescent="0.25">
      <c r="A619" t="s">
        <v>6</v>
      </c>
      <c r="B619" s="5" t="str">
        <f>HYPERLINK("http://www.broadinstitute.org/gsea/msigdb/cards/GOBP_PROTEIN_N_LINKED_GLYCOSYLATION.html","GOBP_PROTEIN_N_LINKED_GLYCOSYLATION")</f>
        <v>GOBP_PROTEIN_N_LINKED_GLYCOSYLATION</v>
      </c>
      <c r="C619" s="4">
        <v>61</v>
      </c>
      <c r="D619" s="3">
        <v>1.8588228</v>
      </c>
      <c r="E619" s="1">
        <v>1.6806722999999999E-3</v>
      </c>
      <c r="F619" s="2">
        <v>4.2695179999999999E-3</v>
      </c>
    </row>
    <row r="620" spans="1:6" x14ac:dyDescent="0.25">
      <c r="A620" t="s">
        <v>6</v>
      </c>
      <c r="B620" s="5" t="str">
        <f>HYPERLINK("http://www.broadinstitute.org/gsea/msigdb/cards/GOBP_MODULATION_BY_SYMBIONT_OF_ENTRY_INTO_HOST.html","GOBP_MODULATION_BY_SYMBIONT_OF_ENTRY_INTO_HOST")</f>
        <v>GOBP_MODULATION_BY_SYMBIONT_OF_ENTRY_INTO_HOST</v>
      </c>
      <c r="C620" s="4">
        <v>53</v>
      </c>
      <c r="D620" s="3">
        <v>1.8580662999999999</v>
      </c>
      <c r="E620" s="1">
        <v>0</v>
      </c>
      <c r="F620" s="2">
        <v>4.3029380000000001E-3</v>
      </c>
    </row>
    <row r="621" spans="1:6" x14ac:dyDescent="0.25">
      <c r="A621" t="s">
        <v>11</v>
      </c>
      <c r="B621" s="5" t="str">
        <f>HYPERLINK("http://www.broadinstitute.org/gsea/msigdb/cards/WP_PRIMARY_FOCAL_SEGMENTAL_GLOMERULOSCLEROSIS_FSGS.html","WP_PRIMARY_FOCAL_SEGMENTAL_GLOMERULOSCLEROSIS_FSGS")</f>
        <v>WP_PRIMARY_FOCAL_SEGMENTAL_GLOMERULOSCLEROSIS_FSGS</v>
      </c>
      <c r="C621" s="4">
        <v>70</v>
      </c>
      <c r="D621" s="3">
        <v>1.8577752000000001</v>
      </c>
      <c r="E621" s="1">
        <v>0</v>
      </c>
      <c r="F621" s="2">
        <v>4.3117279999999999E-3</v>
      </c>
    </row>
    <row r="622" spans="1:6" x14ac:dyDescent="0.25">
      <c r="A622" t="s">
        <v>6</v>
      </c>
      <c r="B622" s="5" t="str">
        <f>HYPERLINK("http://www.broadinstitute.org/gsea/msigdb/cards/GOBP_SUBSTRATE_DEPENDENT_CELL_MIGRATION.html","GOBP_SUBSTRATE_DEPENDENT_CELL_MIGRATION")</f>
        <v>GOBP_SUBSTRATE_DEPENDENT_CELL_MIGRATION</v>
      </c>
      <c r="C622" s="4">
        <v>30</v>
      </c>
      <c r="D622" s="3">
        <v>1.8576108</v>
      </c>
      <c r="E622" s="1">
        <v>0</v>
      </c>
      <c r="F622" s="2">
        <v>4.3135430000000004E-3</v>
      </c>
    </row>
    <row r="623" spans="1:6" x14ac:dyDescent="0.25">
      <c r="A623" t="s">
        <v>10</v>
      </c>
      <c r="B623" s="5" t="str">
        <f>HYPERLINK("http://www.broadinstitute.org/gsea/msigdb/cards/REACTOME_PLATELET_AGGREGATION_PLUG_FORMATION.html","REACTOME_PLATELET_AGGREGATION_PLUG_FORMATION")</f>
        <v>REACTOME_PLATELET_AGGREGATION_PLUG_FORMATION</v>
      </c>
      <c r="C623" s="4">
        <v>37</v>
      </c>
      <c r="D623" s="3">
        <v>1.8572925</v>
      </c>
      <c r="E623" s="1">
        <v>0</v>
      </c>
      <c r="F623" s="2">
        <v>4.3170526999999998E-3</v>
      </c>
    </row>
    <row r="624" spans="1:6" x14ac:dyDescent="0.25">
      <c r="A624" t="s">
        <v>7</v>
      </c>
      <c r="B624" s="5" t="str">
        <f>HYPERLINK("http://www.broadinstitute.org/gsea/msigdb/cards/GOCC_VACUOLAR_LUMEN.html","GOCC_VACUOLAR_LUMEN")</f>
        <v>GOCC_VACUOLAR_LUMEN</v>
      </c>
      <c r="C624" s="4">
        <v>24</v>
      </c>
      <c r="D624" s="3">
        <v>1.8570892999999999</v>
      </c>
      <c r="E624" s="1">
        <v>3.3840947000000001E-3</v>
      </c>
      <c r="F624" s="2">
        <v>4.3222974000000003E-3</v>
      </c>
    </row>
    <row r="625" spans="1:6" x14ac:dyDescent="0.25">
      <c r="A625" t="s">
        <v>6</v>
      </c>
      <c r="B625" s="5" t="str">
        <f>HYPERLINK("http://www.broadinstitute.org/gsea/msigdb/cards/GOBP_POSITIVE_REGULATION_OF_INTERLEUKIN_10_PRODUCTION.html","GOBP_POSITIVE_REGULATION_OF_INTERLEUKIN_10_PRODUCTION")</f>
        <v>GOBP_POSITIVE_REGULATION_OF_INTERLEUKIN_10_PRODUCTION</v>
      </c>
      <c r="C625" s="4">
        <v>44</v>
      </c>
      <c r="D625" s="3">
        <v>1.8570230000000001</v>
      </c>
      <c r="E625" s="1">
        <v>0</v>
      </c>
      <c r="F625" s="2">
        <v>4.3188193999999999E-3</v>
      </c>
    </row>
    <row r="626" spans="1:6" x14ac:dyDescent="0.25">
      <c r="A626" t="s">
        <v>6</v>
      </c>
      <c r="B626" s="5" t="str">
        <f>HYPERLINK("http://www.broadinstitute.org/gsea/msigdb/cards/GOBP_REGULATION_OF_TUBE_SIZE.html","GOBP_REGULATION_OF_TUBE_SIZE")</f>
        <v>GOBP_REGULATION_OF_TUBE_SIZE</v>
      </c>
      <c r="C626" s="4">
        <v>184</v>
      </c>
      <c r="D626" s="3">
        <v>1.8565990000000001</v>
      </c>
      <c r="E626" s="1">
        <v>0</v>
      </c>
      <c r="F626" s="2">
        <v>4.3466199999999998E-3</v>
      </c>
    </row>
    <row r="627" spans="1:6" x14ac:dyDescent="0.25">
      <c r="A627" t="s">
        <v>8</v>
      </c>
      <c r="B627" s="5" t="str">
        <f>HYPERLINK("http://www.broadinstitute.org/gsea/msigdb/cards/GOMF_EXOGENOUS_PROTEIN_BINDING.html","GOMF_EXOGENOUS_PROTEIN_BINDING")</f>
        <v>GOMF_EXOGENOUS_PROTEIN_BINDING</v>
      </c>
      <c r="C627" s="4">
        <v>42</v>
      </c>
      <c r="D627" s="3">
        <v>1.8551282</v>
      </c>
      <c r="E627" s="1">
        <v>0</v>
      </c>
      <c r="F627" s="2">
        <v>4.4247109999999996E-3</v>
      </c>
    </row>
    <row r="628" spans="1:6" x14ac:dyDescent="0.25">
      <c r="A628" t="s">
        <v>6</v>
      </c>
      <c r="B628" s="5" t="str">
        <f>HYPERLINK("http://www.broadinstitute.org/gsea/msigdb/cards/GOBP_REGULATION_OF_NITRIC_OXIDE_SYNTHASE_ACTIVITY.html","GOBP_REGULATION_OF_NITRIC_OXIDE_SYNTHASE_ACTIVITY")</f>
        <v>GOBP_REGULATION_OF_NITRIC_OXIDE_SYNTHASE_ACTIVITY</v>
      </c>
      <c r="C628" s="4">
        <v>33</v>
      </c>
      <c r="D628" s="3">
        <v>1.854948</v>
      </c>
      <c r="E628" s="1">
        <v>0</v>
      </c>
      <c r="F628" s="2">
        <v>4.4245548000000001E-3</v>
      </c>
    </row>
    <row r="629" spans="1:6" x14ac:dyDescent="0.25">
      <c r="A629" t="s">
        <v>6</v>
      </c>
      <c r="B629" s="5" t="str">
        <f>HYPERLINK("http://www.broadinstitute.org/gsea/msigdb/cards/GOBP_POSITIVE_REGULATION_OF_NATURAL_KILLER_CELL_ACTIVATION.html","GOBP_POSITIVE_REGULATION_OF_NATURAL_KILLER_CELL_ACTIVATION")</f>
        <v>GOBP_POSITIVE_REGULATION_OF_NATURAL_KILLER_CELL_ACTIVATION</v>
      </c>
      <c r="C629" s="4">
        <v>44</v>
      </c>
      <c r="D629" s="3">
        <v>1.8544909999999999</v>
      </c>
      <c r="E629" s="1">
        <v>3.1948880999999999E-3</v>
      </c>
      <c r="F629" s="2">
        <v>4.4555590000000004E-3</v>
      </c>
    </row>
    <row r="630" spans="1:6" x14ac:dyDescent="0.25">
      <c r="A630" t="s">
        <v>6</v>
      </c>
      <c r="B630" s="5" t="str">
        <f>HYPERLINK("http://www.broadinstitute.org/gsea/msigdb/cards/GOBP_PROTEIN_PROCESSING.html","GOBP_PROTEIN_PROCESSING")</f>
        <v>GOBP_PROTEIN_PROCESSING</v>
      </c>
      <c r="C630" s="4">
        <v>249</v>
      </c>
      <c r="D630" s="3">
        <v>1.8543928000000001</v>
      </c>
      <c r="E630" s="1">
        <v>0</v>
      </c>
      <c r="F630" s="2">
        <v>4.4536004000000004E-3</v>
      </c>
    </row>
    <row r="631" spans="1:6" x14ac:dyDescent="0.25">
      <c r="A631" t="s">
        <v>6</v>
      </c>
      <c r="B631" s="5" t="str">
        <f>HYPERLINK("http://www.broadinstitute.org/gsea/msigdb/cards/GOBP_REGULATION_OF_MYOBLAST_FUSION.html","GOBP_REGULATION_OF_MYOBLAST_FUSION")</f>
        <v>GOBP_REGULATION_OF_MYOBLAST_FUSION</v>
      </c>
      <c r="C631" s="4">
        <v>25</v>
      </c>
      <c r="D631" s="3">
        <v>1.8536557</v>
      </c>
      <c r="E631" s="1">
        <v>0</v>
      </c>
      <c r="F631" s="2">
        <v>4.4894734999999996E-3</v>
      </c>
    </row>
    <row r="632" spans="1:6" x14ac:dyDescent="0.25">
      <c r="A632" t="s">
        <v>7</v>
      </c>
      <c r="B632" s="5" t="str">
        <f>HYPERLINK("http://www.broadinstitute.org/gsea/msigdb/cards/GOCC_COATED_VESICLE.html","GOCC_COATED_VESICLE")</f>
        <v>GOCC_COATED_VESICLE</v>
      </c>
      <c r="C632" s="4">
        <v>204</v>
      </c>
      <c r="D632" s="3">
        <v>1.8535625</v>
      </c>
      <c r="E632" s="1">
        <v>0</v>
      </c>
      <c r="F632" s="2">
        <v>4.4857559999999996E-3</v>
      </c>
    </row>
    <row r="633" spans="1:6" x14ac:dyDescent="0.25">
      <c r="A633" t="s">
        <v>6</v>
      </c>
      <c r="B633" s="5" t="str">
        <f>HYPERLINK("http://www.broadinstitute.org/gsea/msigdb/cards/GOBP_POSITIVE_REGULATION_OF_TYPE_I_INTERFERON_PRODUCTION.html","GOBP_POSITIVE_REGULATION_OF_TYPE_I_INTERFERON_PRODUCTION")</f>
        <v>GOBP_POSITIVE_REGULATION_OF_TYPE_I_INTERFERON_PRODUCTION</v>
      </c>
      <c r="C633" s="4">
        <v>81</v>
      </c>
      <c r="D633" s="3">
        <v>1.8533721000000001</v>
      </c>
      <c r="E633" s="1">
        <v>0</v>
      </c>
      <c r="F633" s="2">
        <v>4.4855345E-3</v>
      </c>
    </row>
    <row r="634" spans="1:6" x14ac:dyDescent="0.25">
      <c r="A634" t="s">
        <v>8</v>
      </c>
      <c r="B634" s="5" t="str">
        <f>HYPERLINK("http://www.broadinstitute.org/gsea/msigdb/cards/GOMF_METALLOENDOPEPTIDASE_ACTIVITY.html","GOMF_METALLOENDOPEPTIDASE_ACTIVITY")</f>
        <v>GOMF_METALLOENDOPEPTIDASE_ACTIVITY</v>
      </c>
      <c r="C634" s="4">
        <v>102</v>
      </c>
      <c r="D634" s="3">
        <v>1.8524168999999999</v>
      </c>
      <c r="E634" s="1">
        <v>0</v>
      </c>
      <c r="F634" s="2">
        <v>4.5299800000000003E-3</v>
      </c>
    </row>
    <row r="635" spans="1:6" x14ac:dyDescent="0.25">
      <c r="A635" t="s">
        <v>7</v>
      </c>
      <c r="B635" s="5" t="str">
        <f>HYPERLINK("http://www.broadinstitute.org/gsea/msigdb/cards/GOCC_GOLGI_CISTERNA_MEMBRANE.html","GOCC_GOLGI_CISTERNA_MEMBRANE")</f>
        <v>GOCC_GOLGI_CISTERNA_MEMBRANE</v>
      </c>
      <c r="C635" s="4">
        <v>20</v>
      </c>
      <c r="D635" s="3">
        <v>1.8511934000000001</v>
      </c>
      <c r="E635" s="1">
        <v>0</v>
      </c>
      <c r="F635" s="2">
        <v>4.5911116000000004E-3</v>
      </c>
    </row>
    <row r="636" spans="1:6" x14ac:dyDescent="0.25">
      <c r="A636" t="s">
        <v>5</v>
      </c>
      <c r="B636" s="5" t="str">
        <f>HYPERLINK("http://www.broadinstitute.org/gsea/msigdb/cards/BIOCARTA_COMP_PATHWAY.html","BIOCARTA_COMP_PATHWAY")</f>
        <v>BIOCARTA_COMP_PATHWAY</v>
      </c>
      <c r="C636" s="4">
        <v>16</v>
      </c>
      <c r="D636" s="3">
        <v>1.8510164</v>
      </c>
      <c r="E636" s="1">
        <v>0</v>
      </c>
      <c r="F636" s="2">
        <v>4.60612E-3</v>
      </c>
    </row>
    <row r="637" spans="1:6" x14ac:dyDescent="0.25">
      <c r="A637" t="s">
        <v>6</v>
      </c>
      <c r="B637" s="5" t="str">
        <f>HYPERLINK("http://www.broadinstitute.org/gsea/msigdb/cards/GOBP_ANTIGEN_PROCESSING_AND_PRESENTATION_OF_PEPTIDE_ANTIGEN_VIA_MHC_CLASS_I.html","GOBP_ANTIGEN_PROCESSING_AND_PRESENTATION_OF_PEPTIDE_ANTIGEN_VIA_MHC_CLASS_I")</f>
        <v>GOBP_ANTIGEN_PROCESSING_AND_PRESENTATION_OF_PEPTIDE_ANTIGEN_VIA_MHC_CLASS_I</v>
      </c>
      <c r="C637" s="4">
        <v>40</v>
      </c>
      <c r="D637" s="3">
        <v>1.850876</v>
      </c>
      <c r="E637" s="1">
        <v>0</v>
      </c>
      <c r="F637" s="2">
        <v>4.6108173999999998E-3</v>
      </c>
    </row>
    <row r="638" spans="1:6" x14ac:dyDescent="0.25">
      <c r="A638" t="s">
        <v>6</v>
      </c>
      <c r="B638" s="5" t="str">
        <f>HYPERLINK("http://www.broadinstitute.org/gsea/msigdb/cards/GOBP_POSITIVE_REGULATION_OF_NITRIC_OXIDE_SYNTHASE_BIOSYNTHETIC_PROCESS.html","GOBP_POSITIVE_REGULATION_OF_NITRIC_OXIDE_SYNTHASE_BIOSYNTHETIC_PROCESS")</f>
        <v>GOBP_POSITIVE_REGULATION_OF_NITRIC_OXIDE_SYNTHASE_BIOSYNTHETIC_PROCESS</v>
      </c>
      <c r="C638" s="4">
        <v>21</v>
      </c>
      <c r="D638" s="3">
        <v>1.8503913999999999</v>
      </c>
      <c r="E638" s="1">
        <v>0</v>
      </c>
      <c r="F638" s="2">
        <v>4.6308180000000001E-3</v>
      </c>
    </row>
    <row r="639" spans="1:6" x14ac:dyDescent="0.25">
      <c r="A639" t="s">
        <v>8</v>
      </c>
      <c r="B639" s="5" t="str">
        <f>HYPERLINK("http://www.broadinstitute.org/gsea/msigdb/cards/GOMF_SIGNALING_RECEPTOR_COMPLEX_ADAPTOR_ACTIVITY.html","GOMF_SIGNALING_RECEPTOR_COMPLEX_ADAPTOR_ACTIVITY")</f>
        <v>GOMF_SIGNALING_RECEPTOR_COMPLEX_ADAPTOR_ACTIVITY</v>
      </c>
      <c r="C639" s="4">
        <v>39</v>
      </c>
      <c r="D639" s="3">
        <v>1.8499926</v>
      </c>
      <c r="E639" s="1">
        <v>0</v>
      </c>
      <c r="F639" s="2">
        <v>4.6474067000000004E-3</v>
      </c>
    </row>
    <row r="640" spans="1:6" x14ac:dyDescent="0.25">
      <c r="A640" t="s">
        <v>6</v>
      </c>
      <c r="B640" s="5" t="str">
        <f>HYPERLINK("http://www.broadinstitute.org/gsea/msigdb/cards/GOBP_VASCULAR_ENDOTHELIAL_GROWTH_FACTOR_PRODUCTION.html","GOBP_VASCULAR_ENDOTHELIAL_GROWTH_FACTOR_PRODUCTION")</f>
        <v>GOBP_VASCULAR_ENDOTHELIAL_GROWTH_FACTOR_PRODUCTION</v>
      </c>
      <c r="C640" s="4">
        <v>38</v>
      </c>
      <c r="D640" s="3">
        <v>1.8496412</v>
      </c>
      <c r="E640" s="1">
        <v>1.6778524E-3</v>
      </c>
      <c r="F640" s="2">
        <v>4.6588233999999996E-3</v>
      </c>
    </row>
    <row r="641" spans="1:6" x14ac:dyDescent="0.25">
      <c r="A641" t="s">
        <v>8</v>
      </c>
      <c r="B641" s="5" t="str">
        <f>HYPERLINK("http://www.broadinstitute.org/gsea/msigdb/cards/GOMF_G_PROTEIN_ACTIVITY.html","GOMF_G_PROTEIN_ACTIVITY")</f>
        <v>GOMF_G_PROTEIN_ACTIVITY</v>
      </c>
      <c r="C641" s="4">
        <v>53</v>
      </c>
      <c r="D641" s="3">
        <v>1.849234</v>
      </c>
      <c r="E641" s="1">
        <v>0</v>
      </c>
      <c r="F641" s="2">
        <v>4.6701644999999998E-3</v>
      </c>
    </row>
    <row r="642" spans="1:6" x14ac:dyDescent="0.25">
      <c r="A642" t="s">
        <v>10</v>
      </c>
      <c r="B642" s="5" t="str">
        <f>HYPERLINK("http://www.broadinstitute.org/gsea/msigdb/cards/REACTOME_GLYCOSPHINGOLIPID_METABOLISM.html","REACTOME_GLYCOSPHINGOLIPID_METABOLISM")</f>
        <v>REACTOME_GLYCOSPHINGOLIPID_METABOLISM</v>
      </c>
      <c r="C642" s="4">
        <v>41</v>
      </c>
      <c r="D642" s="3">
        <v>1.8489686000000001</v>
      </c>
      <c r="E642" s="1">
        <v>0</v>
      </c>
      <c r="F642" s="2">
        <v>4.6814489999999999E-3</v>
      </c>
    </row>
    <row r="643" spans="1:6" x14ac:dyDescent="0.25">
      <c r="A643" t="s">
        <v>6</v>
      </c>
      <c r="B643" s="5" t="str">
        <f>HYPERLINK("http://www.broadinstitute.org/gsea/msigdb/cards/GOBP_REGULATION_OF_INFLAMMATORY_RESPONSE_TO_ANTIGENIC_STIMULUS.html","GOBP_REGULATION_OF_INFLAMMATORY_RESPONSE_TO_ANTIGENIC_STIMULUS")</f>
        <v>GOBP_REGULATION_OF_INFLAMMATORY_RESPONSE_TO_ANTIGENIC_STIMULUS</v>
      </c>
      <c r="C643" s="4">
        <v>50</v>
      </c>
      <c r="D643" s="3">
        <v>1.8482282999999999</v>
      </c>
      <c r="E643" s="1">
        <v>0</v>
      </c>
      <c r="F643" s="2">
        <v>4.7046420000000002E-3</v>
      </c>
    </row>
    <row r="644" spans="1:6" x14ac:dyDescent="0.25">
      <c r="A644" t="s">
        <v>8</v>
      </c>
      <c r="B644" s="5" t="str">
        <f>HYPERLINK("http://www.broadinstitute.org/gsea/msigdb/cards/GOMF_PROTEIN_PHOSPHORYLATED_AMINO_ACID_BINDING.html","GOMF_PROTEIN_PHOSPHORYLATED_AMINO_ACID_BINDING")</f>
        <v>GOMF_PROTEIN_PHOSPHORYLATED_AMINO_ACID_BINDING</v>
      </c>
      <c r="C644" s="4">
        <v>64</v>
      </c>
      <c r="D644" s="3">
        <v>1.8479862</v>
      </c>
      <c r="E644" s="1">
        <v>1.6286644000000001E-3</v>
      </c>
      <c r="F644" s="2">
        <v>4.7141659999999997E-3</v>
      </c>
    </row>
    <row r="645" spans="1:6" x14ac:dyDescent="0.25">
      <c r="A645" t="s">
        <v>6</v>
      </c>
      <c r="B645" s="5" t="str">
        <f>HYPERLINK("http://www.broadinstitute.org/gsea/msigdb/cards/GOBP_POSITIVE_REGULATION_OF_CELL_SUBSTRATE_JUNCTION_ORGANIZATION.html","GOBP_POSITIVE_REGULATION_OF_CELL_SUBSTRATE_JUNCTION_ORGANIZATION")</f>
        <v>GOBP_POSITIVE_REGULATION_OF_CELL_SUBSTRATE_JUNCTION_ORGANIZATION</v>
      </c>
      <c r="C645" s="4">
        <v>35</v>
      </c>
      <c r="D645" s="3">
        <v>1.8476745000000001</v>
      </c>
      <c r="E645" s="1">
        <v>1.6694489999999999E-3</v>
      </c>
      <c r="F645" s="2">
        <v>4.7253687000000004E-3</v>
      </c>
    </row>
    <row r="646" spans="1:6" x14ac:dyDescent="0.25">
      <c r="A646" t="s">
        <v>6</v>
      </c>
      <c r="B646" s="5" t="str">
        <f>HYPERLINK("http://www.broadinstitute.org/gsea/msigdb/cards/GOBP_CELL_SURFACE_PATTERN_RECOGNITION_RECEPTOR_SIGNALING_PATHWAY.html","GOBP_CELL_SURFACE_PATTERN_RECOGNITION_RECEPTOR_SIGNALING_PATHWAY")</f>
        <v>GOBP_CELL_SURFACE_PATTERN_RECOGNITION_RECEPTOR_SIGNALING_PATHWAY</v>
      </c>
      <c r="C646" s="4">
        <v>69</v>
      </c>
      <c r="D646" s="3">
        <v>1.8465271999999999</v>
      </c>
      <c r="E646" s="1">
        <v>0</v>
      </c>
      <c r="F646" s="2">
        <v>4.7955057000000001E-3</v>
      </c>
    </row>
    <row r="647" spans="1:6" x14ac:dyDescent="0.25">
      <c r="A647" t="s">
        <v>6</v>
      </c>
      <c r="B647" s="5" t="str">
        <f>HYPERLINK("http://www.broadinstitute.org/gsea/msigdb/cards/GOBP_NATURAL_KILLER_CELL_DIFFERENTIATION.html","GOBP_NATURAL_KILLER_CELL_DIFFERENTIATION")</f>
        <v>GOBP_NATURAL_KILLER_CELL_DIFFERENTIATION</v>
      </c>
      <c r="C647" s="4">
        <v>34</v>
      </c>
      <c r="D647" s="3">
        <v>1.8458482000000001</v>
      </c>
      <c r="E647" s="1">
        <v>0</v>
      </c>
      <c r="F647" s="2">
        <v>4.8334216999999999E-3</v>
      </c>
    </row>
    <row r="648" spans="1:6" x14ac:dyDescent="0.25">
      <c r="A648" t="s">
        <v>8</v>
      </c>
      <c r="B648" s="5" t="str">
        <f>HYPERLINK("http://www.broadinstitute.org/gsea/msigdb/cards/GOMF_DOPAMINE_RECEPTOR_BINDING.html","GOMF_DOPAMINE_RECEPTOR_BINDING")</f>
        <v>GOMF_DOPAMINE_RECEPTOR_BINDING</v>
      </c>
      <c r="C648" s="4">
        <v>26</v>
      </c>
      <c r="D648" s="3">
        <v>1.8456349000000001</v>
      </c>
      <c r="E648" s="1">
        <v>3.5460992000000001E-3</v>
      </c>
      <c r="F648" s="2">
        <v>4.8392779999999998E-3</v>
      </c>
    </row>
    <row r="649" spans="1:6" x14ac:dyDescent="0.25">
      <c r="A649" t="s">
        <v>6</v>
      </c>
      <c r="B649" s="5" t="str">
        <f>HYPERLINK("http://www.broadinstitute.org/gsea/msigdb/cards/GOBP_NEGATIVE_REGULATION_OF_PEPTIDYL_TYROSINE_PHOSPHORYLATION.html","GOBP_NEGATIVE_REGULATION_OF_PEPTIDYL_TYROSINE_PHOSPHORYLATION")</f>
        <v>GOBP_NEGATIVE_REGULATION_OF_PEPTIDYL_TYROSINE_PHOSPHORYLATION</v>
      </c>
      <c r="C649" s="4">
        <v>55</v>
      </c>
      <c r="D649" s="3">
        <v>1.8455983</v>
      </c>
      <c r="E649" s="1">
        <v>0</v>
      </c>
      <c r="F649" s="2">
        <v>4.8334883E-3</v>
      </c>
    </row>
    <row r="650" spans="1:6" x14ac:dyDescent="0.25">
      <c r="A650" t="s">
        <v>6</v>
      </c>
      <c r="B650" s="5" t="str">
        <f>HYPERLINK("http://www.broadinstitute.org/gsea/msigdb/cards/GOBP_POSITIVE_REGULATION_OF_PROTEIN_AUTOPHOSPHORYLATION.html","GOBP_POSITIVE_REGULATION_OF_PROTEIN_AUTOPHOSPHORYLATION")</f>
        <v>GOBP_POSITIVE_REGULATION_OF_PROTEIN_AUTOPHOSPHORYLATION</v>
      </c>
      <c r="C650" s="4">
        <v>26</v>
      </c>
      <c r="D650" s="3">
        <v>1.8452841</v>
      </c>
      <c r="E650" s="1">
        <v>0</v>
      </c>
      <c r="F650" s="2">
        <v>4.8494534999999998E-3</v>
      </c>
    </row>
    <row r="651" spans="1:6" x14ac:dyDescent="0.25">
      <c r="A651" t="s">
        <v>6</v>
      </c>
      <c r="B651" s="5" t="str">
        <f>HYPERLINK("http://www.broadinstitute.org/gsea/msigdb/cards/GOBP_INTERFERON_BETA_PRODUCTION.html","GOBP_INTERFERON_BETA_PRODUCTION")</f>
        <v>GOBP_INTERFERON_BETA_PRODUCTION</v>
      </c>
      <c r="C651" s="4">
        <v>72</v>
      </c>
      <c r="D651" s="3">
        <v>1.845207</v>
      </c>
      <c r="E651" s="1">
        <v>0</v>
      </c>
      <c r="F651" s="2">
        <v>4.8453094999999996E-3</v>
      </c>
    </row>
    <row r="652" spans="1:6" x14ac:dyDescent="0.25">
      <c r="A652" t="s">
        <v>11</v>
      </c>
      <c r="B652" s="5" t="str">
        <f>HYPERLINK("http://www.broadinstitute.org/gsea/msigdb/cards/WP_IL_3_SIGNALING_PATHWAY.html","WP_IL_3_SIGNALING_PATHWAY")</f>
        <v>WP_IL_3_SIGNALING_PATHWAY</v>
      </c>
      <c r="C652" s="4">
        <v>98</v>
      </c>
      <c r="D652" s="3">
        <v>1.8445320000000001</v>
      </c>
      <c r="E652" s="1">
        <v>0</v>
      </c>
      <c r="F652" s="2">
        <v>4.8829727E-3</v>
      </c>
    </row>
    <row r="653" spans="1:6" x14ac:dyDescent="0.25">
      <c r="A653" t="s">
        <v>6</v>
      </c>
      <c r="B653" s="5" t="str">
        <f>HYPERLINK("http://www.broadinstitute.org/gsea/msigdb/cards/GOBP_MYELOID_CELL_DIFFERENTIATION.html","GOBP_MYELOID_CELL_DIFFERENTIATION")</f>
        <v>GOBP_MYELOID_CELL_DIFFERENTIATION</v>
      </c>
      <c r="C653" s="4">
        <v>452</v>
      </c>
      <c r="D653" s="3">
        <v>1.8445001000000001</v>
      </c>
      <c r="E653" s="1">
        <v>0</v>
      </c>
      <c r="F653" s="2">
        <v>4.8754606000000001E-3</v>
      </c>
    </row>
    <row r="654" spans="1:6" x14ac:dyDescent="0.25">
      <c r="A654" t="s">
        <v>6</v>
      </c>
      <c r="B654" s="5" t="str">
        <f>HYPERLINK("http://www.broadinstitute.org/gsea/msigdb/cards/GOBP_IMMUNOLOGICAL_SYNAPSE_FORMATION.html","GOBP_IMMUNOLOGICAL_SYNAPSE_FORMATION")</f>
        <v>GOBP_IMMUNOLOGICAL_SYNAPSE_FORMATION</v>
      </c>
      <c r="C654" s="4">
        <v>15</v>
      </c>
      <c r="D654" s="3">
        <v>1.8437654999999999</v>
      </c>
      <c r="E654" s="1">
        <v>3.4423408000000002E-3</v>
      </c>
      <c r="F654" s="2">
        <v>4.9262163000000003E-3</v>
      </c>
    </row>
    <row r="655" spans="1:6" x14ac:dyDescent="0.25">
      <c r="A655" t="s">
        <v>6</v>
      </c>
      <c r="B655" s="5" t="str">
        <f>HYPERLINK("http://www.broadinstitute.org/gsea/msigdb/cards/GOBP_RESPONSE_TO_TYPE_I_INTERFERON.html","GOBP_RESPONSE_TO_TYPE_I_INTERFERON")</f>
        <v>GOBP_RESPONSE_TO_TYPE_I_INTERFERON</v>
      </c>
      <c r="C655" s="4">
        <v>68</v>
      </c>
      <c r="D655" s="3">
        <v>1.8435017</v>
      </c>
      <c r="E655" s="1">
        <v>0</v>
      </c>
      <c r="F655" s="2">
        <v>4.9352637000000003E-3</v>
      </c>
    </row>
    <row r="656" spans="1:6" x14ac:dyDescent="0.25">
      <c r="A656" t="s">
        <v>10</v>
      </c>
      <c r="B656" s="5" t="str">
        <f>HYPERLINK("http://www.broadinstitute.org/gsea/msigdb/cards/REACTOME_CASPASE_ACTIVATION_VIA_DEATH_RECEPTORS_IN_THE_PRESENCE_OF_LIGAND.html","REACTOME_CASPASE_ACTIVATION_VIA_DEATH_RECEPTORS_IN_THE_PRESENCE_OF_LIGAND")</f>
        <v>REACTOME_CASPASE_ACTIVATION_VIA_DEATH_RECEPTORS_IN_THE_PRESENCE_OF_LIGAND</v>
      </c>
      <c r="C656" s="4">
        <v>15</v>
      </c>
      <c r="D656" s="3">
        <v>1.8428849</v>
      </c>
      <c r="E656" s="1">
        <v>0</v>
      </c>
      <c r="F656" s="2">
        <v>4.9759415E-3</v>
      </c>
    </row>
    <row r="657" spans="1:6" x14ac:dyDescent="0.25">
      <c r="A657" t="s">
        <v>10</v>
      </c>
      <c r="B657" s="5" t="str">
        <f>HYPERLINK("http://www.broadinstitute.org/gsea/msigdb/cards/REACTOME_CASPASE_ACTIVATION_VIA_EXTRINSIC_APOPTOTIC_SIGNALLING_PATHWAY.html","REACTOME_CASPASE_ACTIVATION_VIA_EXTRINSIC_APOPTOTIC_SIGNALLING_PATHWAY")</f>
        <v>REACTOME_CASPASE_ACTIVATION_VIA_EXTRINSIC_APOPTOTIC_SIGNALLING_PATHWAY</v>
      </c>
      <c r="C657" s="4">
        <v>19</v>
      </c>
      <c r="D657" s="3">
        <v>1.8421519</v>
      </c>
      <c r="E657" s="1">
        <v>0</v>
      </c>
      <c r="F657" s="2">
        <v>5.0296359999999997E-3</v>
      </c>
    </row>
    <row r="658" spans="1:6" x14ac:dyDescent="0.25">
      <c r="A658" t="s">
        <v>10</v>
      </c>
      <c r="B658" s="5" t="str">
        <f>HYPERLINK("http://www.broadinstitute.org/gsea/msigdb/cards/REACTOME_CELL_EXTRACELLULAR_MATRIX_INTERACTIONS.html","REACTOME_CELL_EXTRACELLULAR_MATRIX_INTERACTIONS")</f>
        <v>REACTOME_CELL_EXTRACELLULAR_MATRIX_INTERACTIONS</v>
      </c>
      <c r="C658" s="4">
        <v>18</v>
      </c>
      <c r="D658" s="3">
        <v>1.8420152999999999</v>
      </c>
      <c r="E658" s="1">
        <v>0</v>
      </c>
      <c r="F658" s="2">
        <v>5.0252806000000002E-3</v>
      </c>
    </row>
    <row r="659" spans="1:6" x14ac:dyDescent="0.25">
      <c r="A659" t="s">
        <v>6</v>
      </c>
      <c r="B659" s="5" t="str">
        <f>HYPERLINK("http://www.broadinstitute.org/gsea/msigdb/cards/GOBP_PROSTAGLANDIN_SECRETION.html","GOBP_PROSTAGLANDIN_SECRETION")</f>
        <v>GOBP_PROSTAGLANDIN_SECRETION</v>
      </c>
      <c r="C659" s="4">
        <v>21</v>
      </c>
      <c r="D659" s="3">
        <v>1.8411441</v>
      </c>
      <c r="E659" s="1">
        <v>0</v>
      </c>
      <c r="F659" s="2">
        <v>5.0754043999999996E-3</v>
      </c>
    </row>
    <row r="660" spans="1:6" x14ac:dyDescent="0.25">
      <c r="A660" t="s">
        <v>6</v>
      </c>
      <c r="B660" s="5" t="str">
        <f>HYPERLINK("http://www.broadinstitute.org/gsea/msigdb/cards/GOBP_INTERFERON_ALPHA_PRODUCTION.html","GOBP_INTERFERON_ALPHA_PRODUCTION")</f>
        <v>GOBP_INTERFERON_ALPHA_PRODUCTION</v>
      </c>
      <c r="C660" s="4">
        <v>35</v>
      </c>
      <c r="D660" s="3">
        <v>1.8401479000000001</v>
      </c>
      <c r="E660" s="1">
        <v>1.7241379E-3</v>
      </c>
      <c r="F660" s="2">
        <v>5.1270895999999998E-3</v>
      </c>
    </row>
    <row r="661" spans="1:6" x14ac:dyDescent="0.25">
      <c r="A661" t="s">
        <v>5</v>
      </c>
      <c r="B661" s="5" t="str">
        <f>HYPERLINK("http://www.broadinstitute.org/gsea/msigdb/cards/BIOCARTA_FAS_PATHWAY.html","BIOCARTA_FAS_PATHWAY")</f>
        <v>BIOCARTA_FAS_PATHWAY</v>
      </c>
      <c r="C661" s="4">
        <v>28</v>
      </c>
      <c r="D661" s="3">
        <v>1.8400030000000001</v>
      </c>
      <c r="E661" s="1">
        <v>0</v>
      </c>
      <c r="F661" s="2">
        <v>5.1275000000000001E-3</v>
      </c>
    </row>
    <row r="662" spans="1:6" x14ac:dyDescent="0.25">
      <c r="A662" t="s">
        <v>6</v>
      </c>
      <c r="B662" s="5" t="str">
        <f>HYPERLINK("http://www.broadinstitute.org/gsea/msigdb/cards/GOBP_ER_NUCLEUS_SIGNALING_PATHWAY.html","GOBP_ER_NUCLEUS_SIGNALING_PATHWAY")</f>
        <v>GOBP_ER_NUCLEUS_SIGNALING_PATHWAY</v>
      </c>
      <c r="C662" s="4">
        <v>41</v>
      </c>
      <c r="D662" s="3">
        <v>1.8388529</v>
      </c>
      <c r="E662" s="1">
        <v>0</v>
      </c>
      <c r="F662" s="2">
        <v>5.1691869999999996E-3</v>
      </c>
    </row>
    <row r="663" spans="1:6" x14ac:dyDescent="0.25">
      <c r="A663" t="s">
        <v>6</v>
      </c>
      <c r="B663" s="5" t="str">
        <f>HYPERLINK("http://www.broadinstitute.org/gsea/msigdb/cards/GOBP_POSITIVE_REGULATION_OF_INTERFERON_ALPHA_PRODUCTION.html","GOBP_POSITIVE_REGULATION_OF_INTERFERON_ALPHA_PRODUCTION")</f>
        <v>GOBP_POSITIVE_REGULATION_OF_INTERFERON_ALPHA_PRODUCTION</v>
      </c>
      <c r="C663" s="4">
        <v>28</v>
      </c>
      <c r="D663" s="3">
        <v>1.8384844</v>
      </c>
      <c r="E663" s="1">
        <v>0</v>
      </c>
      <c r="F663" s="2">
        <v>5.1761586000000004E-3</v>
      </c>
    </row>
    <row r="664" spans="1:6" x14ac:dyDescent="0.25">
      <c r="A664" t="s">
        <v>6</v>
      </c>
      <c r="B664" s="5" t="str">
        <f>HYPERLINK("http://www.broadinstitute.org/gsea/msigdb/cards/GOBP_TISSUE_REMODELING.html","GOBP_TISSUE_REMODELING")</f>
        <v>GOBP_TISSUE_REMODELING</v>
      </c>
      <c r="C664" s="4">
        <v>202</v>
      </c>
      <c r="D664" s="3">
        <v>1.8371459000000001</v>
      </c>
      <c r="E664" s="1">
        <v>0</v>
      </c>
      <c r="F664" s="2">
        <v>5.2598612000000003E-3</v>
      </c>
    </row>
    <row r="665" spans="1:6" x14ac:dyDescent="0.25">
      <c r="A665" t="s">
        <v>6</v>
      </c>
      <c r="B665" s="5" t="str">
        <f>HYPERLINK("http://www.broadinstitute.org/gsea/msigdb/cards/GOBP_REGULATION_OF_VASOCONSTRICTION.html","GOBP_REGULATION_OF_VASOCONSTRICTION")</f>
        <v>GOBP_REGULATION_OF_VASOCONSTRICTION</v>
      </c>
      <c r="C665" s="4">
        <v>88</v>
      </c>
      <c r="D665" s="3">
        <v>1.8368495</v>
      </c>
      <c r="E665" s="1">
        <v>1.5360982999999999E-3</v>
      </c>
      <c r="F665" s="2">
        <v>5.2666487000000003E-3</v>
      </c>
    </row>
    <row r="666" spans="1:6" x14ac:dyDescent="0.25">
      <c r="A666" t="s">
        <v>7</v>
      </c>
      <c r="B666" s="5" t="str">
        <f>HYPERLINK("http://www.broadinstitute.org/gsea/msigdb/cards/GOCC_GOLGI_MEDIAL_CISTERNA.html","GOCC_GOLGI_MEDIAL_CISTERNA")</f>
        <v>GOCC_GOLGI_MEDIAL_CISTERNA</v>
      </c>
      <c r="C666" s="4">
        <v>23</v>
      </c>
      <c r="D666" s="3">
        <v>1.8346952999999999</v>
      </c>
      <c r="E666" s="1">
        <v>0</v>
      </c>
      <c r="F666" s="2">
        <v>5.4172682999999999E-3</v>
      </c>
    </row>
    <row r="667" spans="1:6" x14ac:dyDescent="0.25">
      <c r="A667" t="s">
        <v>6</v>
      </c>
      <c r="B667" s="5" t="str">
        <f>HYPERLINK("http://www.broadinstitute.org/gsea/msigdb/cards/GOBP_PROTEIN_TRIMERIZATION.html","GOBP_PROTEIN_TRIMERIZATION")</f>
        <v>GOBP_PROTEIN_TRIMERIZATION</v>
      </c>
      <c r="C667" s="4">
        <v>16</v>
      </c>
      <c r="D667" s="3">
        <v>1.8339300000000001</v>
      </c>
      <c r="E667" s="1">
        <v>1.7513135E-3</v>
      </c>
      <c r="F667" s="2">
        <v>5.4646649999999996E-3</v>
      </c>
    </row>
    <row r="668" spans="1:6" x14ac:dyDescent="0.25">
      <c r="A668" t="s">
        <v>6</v>
      </c>
      <c r="B668" s="5" t="str">
        <f>HYPERLINK("http://www.broadinstitute.org/gsea/msigdb/cards/GOBP_REGULATION_OF_RECEPTOR_SIGNALING_PATHWAY_VIA_STAT.html","GOBP_REGULATION_OF_RECEPTOR_SIGNALING_PATHWAY_VIA_STAT")</f>
        <v>GOBP_REGULATION_OF_RECEPTOR_SIGNALING_PATHWAY_VIA_STAT</v>
      </c>
      <c r="C668" s="4">
        <v>105</v>
      </c>
      <c r="D668" s="3">
        <v>1.8329207999999999</v>
      </c>
      <c r="E668" s="1">
        <v>0</v>
      </c>
      <c r="F668" s="2">
        <v>5.5281133E-3</v>
      </c>
    </row>
    <row r="669" spans="1:6" x14ac:dyDescent="0.25">
      <c r="A669" t="s">
        <v>10</v>
      </c>
      <c r="B669" s="5" t="str">
        <f>HYPERLINK("http://www.broadinstitute.org/gsea/msigdb/cards/REACTOME_MYD88_INDEPENDENT_TLR4_CASCADE.html","REACTOME_MYD88_INDEPENDENT_TLR4_CASCADE")</f>
        <v>REACTOME_MYD88_INDEPENDENT_TLR4_CASCADE</v>
      </c>
      <c r="C669" s="4">
        <v>99</v>
      </c>
      <c r="D669" s="3">
        <v>1.8319392999999999</v>
      </c>
      <c r="E669" s="1">
        <v>0</v>
      </c>
      <c r="F669" s="2">
        <v>5.5994410000000001E-3</v>
      </c>
    </row>
    <row r="670" spans="1:6" x14ac:dyDescent="0.25">
      <c r="A670" t="s">
        <v>6</v>
      </c>
      <c r="B670" s="5" t="str">
        <f>HYPERLINK("http://www.broadinstitute.org/gsea/msigdb/cards/GOBP_CD4_POSITIVE_ALPHA_BETA_T_CELL_PROLIFERATION.html","GOBP_CD4_POSITIVE_ALPHA_BETA_T_CELL_PROLIFERATION")</f>
        <v>GOBP_CD4_POSITIVE_ALPHA_BETA_T_CELL_PROLIFERATION</v>
      </c>
      <c r="C670" s="4">
        <v>27</v>
      </c>
      <c r="D670" s="3">
        <v>1.8316569</v>
      </c>
      <c r="E670" s="1">
        <v>0</v>
      </c>
      <c r="F670" s="2">
        <v>5.6153469999999997E-3</v>
      </c>
    </row>
    <row r="671" spans="1:6" x14ac:dyDescent="0.25">
      <c r="A671" t="s">
        <v>6</v>
      </c>
      <c r="B671" s="5" t="str">
        <f>HYPERLINK("http://www.broadinstitute.org/gsea/msigdb/cards/GOBP_VASOCONSTRICTION.html","GOBP_VASOCONSTRICTION")</f>
        <v>GOBP_VASOCONSTRICTION</v>
      </c>
      <c r="C671" s="4">
        <v>111</v>
      </c>
      <c r="D671" s="3">
        <v>1.8315741000000001</v>
      </c>
      <c r="E671" s="1">
        <v>0</v>
      </c>
      <c r="F671" s="2">
        <v>5.6102056999999999E-3</v>
      </c>
    </row>
    <row r="672" spans="1:6" x14ac:dyDescent="0.25">
      <c r="A672" t="s">
        <v>10</v>
      </c>
      <c r="B672" s="5" t="str">
        <f>HYPERLINK("http://www.broadinstitute.org/gsea/msigdb/cards/REACTOME_SIGNALING_BY_PTK6.html","REACTOME_SIGNALING_BY_PTK6")</f>
        <v>REACTOME_SIGNALING_BY_PTK6</v>
      </c>
      <c r="C672" s="4">
        <v>48</v>
      </c>
      <c r="D672" s="3">
        <v>1.8315614</v>
      </c>
      <c r="E672" s="1">
        <v>1.6260161999999999E-3</v>
      </c>
      <c r="F672" s="2">
        <v>5.6018196000000003E-3</v>
      </c>
    </row>
    <row r="673" spans="1:6" x14ac:dyDescent="0.25">
      <c r="A673" t="s">
        <v>6</v>
      </c>
      <c r="B673" s="5" t="str">
        <f>HYPERLINK("http://www.broadinstitute.org/gsea/msigdb/cards/GOBP_NEGATIVE_REGULATION_OF_LEUKOCYTE_CELL_CELL_ADHESION.html","GOBP_NEGATIVE_REGULATION_OF_LEUKOCYTE_CELL_CELL_ADHESION")</f>
        <v>GOBP_NEGATIVE_REGULATION_OF_LEUKOCYTE_CELL_CELL_ADHESION</v>
      </c>
      <c r="C673" s="4">
        <v>147</v>
      </c>
      <c r="D673" s="3">
        <v>1.8303267000000001</v>
      </c>
      <c r="E673" s="1">
        <v>0</v>
      </c>
      <c r="F673" s="2">
        <v>5.6919535000000002E-3</v>
      </c>
    </row>
    <row r="674" spans="1:6" x14ac:dyDescent="0.25">
      <c r="A674" t="s">
        <v>10</v>
      </c>
      <c r="B674" s="5" t="str">
        <f>HYPERLINK("http://www.broadinstitute.org/gsea/msigdb/cards/REACTOME_KERATAN_SULFATE_KERATIN_METABOLISM.html","REACTOME_KERATAN_SULFATE_KERATIN_METABOLISM")</f>
        <v>REACTOME_KERATAN_SULFATE_KERATIN_METABOLISM</v>
      </c>
      <c r="C674" s="4">
        <v>34</v>
      </c>
      <c r="D674" s="3">
        <v>1.8302901</v>
      </c>
      <c r="E674" s="1">
        <v>0</v>
      </c>
      <c r="F674" s="2">
        <v>5.6850670000000002E-3</v>
      </c>
    </row>
    <row r="675" spans="1:6" x14ac:dyDescent="0.25">
      <c r="A675" t="s">
        <v>6</v>
      </c>
      <c r="B675" s="5" t="str">
        <f>HYPERLINK("http://www.broadinstitute.org/gsea/msigdb/cards/GOBP_GLYCOPROTEIN_BIOSYNTHETIC_PROCESS.html","GOBP_GLYCOPROTEIN_BIOSYNTHETIC_PROCESS")</f>
        <v>GOBP_GLYCOPROTEIN_BIOSYNTHETIC_PROCESS</v>
      </c>
      <c r="C675" s="4">
        <v>277</v>
      </c>
      <c r="D675" s="3">
        <v>1.8302282000000001</v>
      </c>
      <c r="E675" s="1">
        <v>0</v>
      </c>
      <c r="F675" s="2">
        <v>5.6830969999999998E-3</v>
      </c>
    </row>
    <row r="676" spans="1:6" x14ac:dyDescent="0.25">
      <c r="A676" t="s">
        <v>6</v>
      </c>
      <c r="B676" s="5" t="str">
        <f>HYPERLINK("http://www.broadinstitute.org/gsea/msigdb/cards/GOBP_REGULATION_OF_LEUKOCYTE_DIFFERENTIATION.html","GOBP_REGULATION_OF_LEUKOCYTE_DIFFERENTIATION")</f>
        <v>GOBP_REGULATION_OF_LEUKOCYTE_DIFFERENTIATION</v>
      </c>
      <c r="C676" s="4">
        <v>344</v>
      </c>
      <c r="D676" s="3">
        <v>1.8299302</v>
      </c>
      <c r="E676" s="1">
        <v>0</v>
      </c>
      <c r="F676" s="2">
        <v>5.7004205999999997E-3</v>
      </c>
    </row>
    <row r="677" spans="1:6" x14ac:dyDescent="0.25">
      <c r="A677" t="s">
        <v>10</v>
      </c>
      <c r="B677" s="5" t="str">
        <f>HYPERLINK("http://www.broadinstitute.org/gsea/msigdb/cards/REACTOME_PD_1_SIGNALING.html","REACTOME_PD_1_SIGNALING")</f>
        <v>REACTOME_PD_1_SIGNALING</v>
      </c>
      <c r="C677" s="4">
        <v>16</v>
      </c>
      <c r="D677" s="3">
        <v>1.829669</v>
      </c>
      <c r="E677" s="1">
        <v>0</v>
      </c>
      <c r="F677" s="2">
        <v>5.7127764000000003E-3</v>
      </c>
    </row>
    <row r="678" spans="1:6" x14ac:dyDescent="0.25">
      <c r="A678" t="s">
        <v>10</v>
      </c>
      <c r="B678" s="5" t="str">
        <f>HYPERLINK("http://www.broadinstitute.org/gsea/msigdb/cards/REACTOME_FCERI_MEDIATED_MAPK_ACTIVATION.html","REACTOME_FCERI_MEDIATED_MAPK_ACTIVATION")</f>
        <v>REACTOME_FCERI_MEDIATED_MAPK_ACTIVATION</v>
      </c>
      <c r="C678" s="4">
        <v>31</v>
      </c>
      <c r="D678" s="3">
        <v>1.8294082</v>
      </c>
      <c r="E678" s="1">
        <v>1.7241379E-3</v>
      </c>
      <c r="F678" s="2">
        <v>5.723578E-3</v>
      </c>
    </row>
    <row r="679" spans="1:6" x14ac:dyDescent="0.25">
      <c r="A679" t="s">
        <v>6</v>
      </c>
      <c r="B679" s="5" t="str">
        <f>HYPERLINK("http://www.broadinstitute.org/gsea/msigdb/cards/GOBP_POSITIVE_REGULATION_OF_HEMOPOIESIS.html","GOBP_POSITIVE_REGULATION_OF_HEMOPOIESIS")</f>
        <v>GOBP_POSITIVE_REGULATION_OF_HEMOPOIESIS</v>
      </c>
      <c r="C679" s="4">
        <v>205</v>
      </c>
      <c r="D679" s="3">
        <v>1.8293269000000001</v>
      </c>
      <c r="E679" s="1">
        <v>0</v>
      </c>
      <c r="F679" s="2">
        <v>5.7247560000000001E-3</v>
      </c>
    </row>
    <row r="680" spans="1:6" x14ac:dyDescent="0.25">
      <c r="A680" t="s">
        <v>6</v>
      </c>
      <c r="B680" s="5" t="str">
        <f>HYPERLINK("http://www.broadinstitute.org/gsea/msigdb/cards/GOBP_GLYCEROL_METABOLIC_PROCESS.html","GOBP_GLYCEROL_METABOLIC_PROCESS")</f>
        <v>GOBP_GLYCEROL_METABOLIC_PROCESS</v>
      </c>
      <c r="C680" s="4">
        <v>21</v>
      </c>
      <c r="D680" s="3">
        <v>1.8291713999999999</v>
      </c>
      <c r="E680" s="1">
        <v>1.7361111000000001E-3</v>
      </c>
      <c r="F680" s="2">
        <v>5.7291896000000002E-3</v>
      </c>
    </row>
    <row r="681" spans="1:6" x14ac:dyDescent="0.25">
      <c r="A681" t="s">
        <v>6</v>
      </c>
      <c r="B681" s="5" t="str">
        <f>HYPERLINK("http://www.broadinstitute.org/gsea/msigdb/cards/GOBP_LYMPHOCYTE_HOMEOSTASIS.html","GOBP_LYMPHOCYTE_HOMEOSTASIS")</f>
        <v>GOBP_LYMPHOCYTE_HOMEOSTASIS</v>
      </c>
      <c r="C681" s="4">
        <v>95</v>
      </c>
      <c r="D681" s="3">
        <v>1.8288789000000001</v>
      </c>
      <c r="E681" s="1">
        <v>0</v>
      </c>
      <c r="F681" s="2">
        <v>5.7527543999999998E-3</v>
      </c>
    </row>
    <row r="682" spans="1:6" x14ac:dyDescent="0.25">
      <c r="A682" t="s">
        <v>6</v>
      </c>
      <c r="B682" s="5" t="str">
        <f>HYPERLINK("http://www.broadinstitute.org/gsea/msigdb/cards/GOBP_POSITIVE_REGULATION_OF_PEPTIDASE_ACTIVITY.html","GOBP_POSITIVE_REGULATION_OF_PEPTIDASE_ACTIVITY")</f>
        <v>GOBP_POSITIVE_REGULATION_OF_PEPTIDASE_ACTIVITY</v>
      </c>
      <c r="C682" s="4">
        <v>182</v>
      </c>
      <c r="D682" s="3">
        <v>1.8268161000000001</v>
      </c>
      <c r="E682" s="1">
        <v>0</v>
      </c>
      <c r="F682" s="2">
        <v>5.916663E-3</v>
      </c>
    </row>
    <row r="683" spans="1:6" x14ac:dyDescent="0.25">
      <c r="A683" t="s">
        <v>6</v>
      </c>
      <c r="B683" s="5" t="str">
        <f>HYPERLINK("http://www.broadinstitute.org/gsea/msigdb/cards/GOBP_NEGATIVE_REGULATION_OF_VASCULATURE_DEVELOPMENT.html","GOBP_NEGATIVE_REGULATION_OF_VASCULATURE_DEVELOPMENT")</f>
        <v>GOBP_NEGATIVE_REGULATION_OF_VASCULATURE_DEVELOPMENT</v>
      </c>
      <c r="C683" s="4">
        <v>110</v>
      </c>
      <c r="D683" s="3">
        <v>1.8264965</v>
      </c>
      <c r="E683" s="1">
        <v>0</v>
      </c>
      <c r="F683" s="2">
        <v>5.9239933999999999E-3</v>
      </c>
    </row>
    <row r="684" spans="1:6" x14ac:dyDescent="0.25">
      <c r="A684" t="s">
        <v>8</v>
      </c>
      <c r="B684" s="5" t="str">
        <f>HYPERLINK("http://www.broadinstitute.org/gsea/msigdb/cards/GOMF_PHOSPHATIDYLINOSITOL_3_KINASE_BINDING.html","GOMF_PHOSPHATIDYLINOSITOL_3_KINASE_BINDING")</f>
        <v>GOMF_PHOSPHATIDYLINOSITOL_3_KINASE_BINDING</v>
      </c>
      <c r="C684" s="4">
        <v>42</v>
      </c>
      <c r="D684" s="3">
        <v>1.8258821999999999</v>
      </c>
      <c r="E684" s="1">
        <v>1.6207455E-3</v>
      </c>
      <c r="F684" s="2">
        <v>5.9423106999999999E-3</v>
      </c>
    </row>
    <row r="685" spans="1:6" x14ac:dyDescent="0.25">
      <c r="A685" t="s">
        <v>8</v>
      </c>
      <c r="B685" s="5" t="str">
        <f>HYPERLINK("http://www.broadinstitute.org/gsea/msigdb/cards/GOMF_PEPTIDE_ANTIGEN_BINDING.html","GOMF_PEPTIDE_ANTIGEN_BINDING")</f>
        <v>GOMF_PEPTIDE_ANTIGEN_BINDING</v>
      </c>
      <c r="C685" s="4">
        <v>33</v>
      </c>
      <c r="D685" s="3">
        <v>1.8242072</v>
      </c>
      <c r="E685" s="1">
        <v>0</v>
      </c>
      <c r="F685" s="2">
        <v>6.0636379999999997E-3</v>
      </c>
    </row>
    <row r="686" spans="1:6" x14ac:dyDescent="0.25">
      <c r="A686" t="s">
        <v>6</v>
      </c>
      <c r="B686" s="5" t="str">
        <f>HYPERLINK("http://www.broadinstitute.org/gsea/msigdb/cards/GOBP_POSITIVE_REGULATION_OF_KINASE_ACTIVITY.html","GOBP_POSITIVE_REGULATION_OF_KINASE_ACTIVITY")</f>
        <v>GOBP_POSITIVE_REGULATION_OF_KINASE_ACTIVITY</v>
      </c>
      <c r="C686" s="4">
        <v>404</v>
      </c>
      <c r="D686" s="3">
        <v>1.8235551999999999</v>
      </c>
      <c r="E686" s="1">
        <v>0</v>
      </c>
      <c r="F686" s="2">
        <v>6.0929273999999999E-3</v>
      </c>
    </row>
    <row r="687" spans="1:6" x14ac:dyDescent="0.25">
      <c r="A687" t="s">
        <v>8</v>
      </c>
      <c r="B687" s="5" t="str">
        <f>HYPERLINK("http://www.broadinstitute.org/gsea/msigdb/cards/GOMF_MONOSACCHARIDE_BINDING.html","GOMF_MONOSACCHARIDE_BINDING")</f>
        <v>GOMF_MONOSACCHARIDE_BINDING</v>
      </c>
      <c r="C687" s="4">
        <v>92</v>
      </c>
      <c r="D687" s="3">
        <v>1.8230404</v>
      </c>
      <c r="E687" s="1">
        <v>0</v>
      </c>
      <c r="F687" s="2">
        <v>6.1218799999999997E-3</v>
      </c>
    </row>
    <row r="688" spans="1:6" x14ac:dyDescent="0.25">
      <c r="A688" t="s">
        <v>11</v>
      </c>
      <c r="B688" s="5" t="str">
        <f>HYPERLINK("http://www.broadinstitute.org/gsea/msigdb/cards/WP_APOPTOSIS.html","WP_APOPTOSIS")</f>
        <v>WP_APOPTOSIS</v>
      </c>
      <c r="C688" s="4">
        <v>78</v>
      </c>
      <c r="D688" s="3">
        <v>1.8228557000000001</v>
      </c>
      <c r="E688" s="1">
        <v>0</v>
      </c>
      <c r="F688" s="2">
        <v>6.130333E-3</v>
      </c>
    </row>
    <row r="689" spans="1:6" x14ac:dyDescent="0.25">
      <c r="A689" t="s">
        <v>6</v>
      </c>
      <c r="B689" s="5" t="str">
        <f>HYPERLINK("http://www.broadinstitute.org/gsea/msigdb/cards/GOBP_PHOSPHATIDYLINOSITOL_3_KINASE_PROTEIN_KINASE_B_SIGNAL_TRANSDUCTION.html","GOBP_PHOSPHATIDYLINOSITOL_3_KINASE_PROTEIN_KINASE_B_SIGNAL_TRANSDUCTION")</f>
        <v>GOBP_PHOSPHATIDYLINOSITOL_3_KINASE_PROTEIN_KINASE_B_SIGNAL_TRANSDUCTION</v>
      </c>
      <c r="C689" s="4">
        <v>298</v>
      </c>
      <c r="D689" s="3">
        <v>1.8223921000000001</v>
      </c>
      <c r="E689" s="1">
        <v>0</v>
      </c>
      <c r="F689" s="2">
        <v>6.1608412999999999E-3</v>
      </c>
    </row>
    <row r="690" spans="1:6" x14ac:dyDescent="0.25">
      <c r="A690" t="s">
        <v>6</v>
      </c>
      <c r="B690" s="5" t="str">
        <f>HYPERLINK("http://www.broadinstitute.org/gsea/msigdb/cards/GOBP_REGULATION_OF_FIBROBLAST_MIGRATION.html","GOBP_REGULATION_OF_FIBROBLAST_MIGRATION")</f>
        <v>GOBP_REGULATION_OF_FIBROBLAST_MIGRATION</v>
      </c>
      <c r="C690" s="4">
        <v>51</v>
      </c>
      <c r="D690" s="3">
        <v>1.8219273</v>
      </c>
      <c r="E690" s="1">
        <v>0</v>
      </c>
      <c r="F690" s="2">
        <v>6.1786408000000003E-3</v>
      </c>
    </row>
    <row r="691" spans="1:6" x14ac:dyDescent="0.25">
      <c r="A691" t="s">
        <v>6</v>
      </c>
      <c r="B691" s="5" t="str">
        <f>HYPERLINK("http://www.broadinstitute.org/gsea/msigdb/cards/GOBP_CELLULAR_RESPONSE_TO_VASCULAR_ENDOTHELIAL_GROWTH_FACTOR_STIMULUS.html","GOBP_CELLULAR_RESPONSE_TO_VASCULAR_ENDOTHELIAL_GROWTH_FACTOR_STIMULUS")</f>
        <v>GOBP_CELLULAR_RESPONSE_TO_VASCULAR_ENDOTHELIAL_GROWTH_FACTOR_STIMULUS</v>
      </c>
      <c r="C691" s="4">
        <v>60</v>
      </c>
      <c r="D691" s="3">
        <v>1.8216555000000001</v>
      </c>
      <c r="E691" s="1">
        <v>0</v>
      </c>
      <c r="F691" s="2">
        <v>6.1838804000000002E-3</v>
      </c>
    </row>
    <row r="692" spans="1:6" x14ac:dyDescent="0.25">
      <c r="A692" t="s">
        <v>6</v>
      </c>
      <c r="B692" s="5" t="str">
        <f>HYPERLINK("http://www.broadinstitute.org/gsea/msigdb/cards/GOBP_RESPONSE_TO_AMYLOID_BETA.html","GOBP_RESPONSE_TO_AMYLOID_BETA")</f>
        <v>GOBP_RESPONSE_TO_AMYLOID_BETA</v>
      </c>
      <c r="C692" s="4">
        <v>39</v>
      </c>
      <c r="D692" s="3">
        <v>1.8211676000000001</v>
      </c>
      <c r="E692" s="1">
        <v>0</v>
      </c>
      <c r="F692" s="2">
        <v>6.2158112E-3</v>
      </c>
    </row>
    <row r="693" spans="1:6" x14ac:dyDescent="0.25">
      <c r="A693" t="s">
        <v>8</v>
      </c>
      <c r="B693" s="5" t="str">
        <f>HYPERLINK("http://www.broadinstitute.org/gsea/msigdb/cards/GOMF_CYSTEINE_TYPE_ENDOPEPTIDASE_ACTIVITY.html","GOMF_CYSTEINE_TYPE_ENDOPEPTIDASE_ACTIVITY")</f>
        <v>GOMF_CYSTEINE_TYPE_ENDOPEPTIDASE_ACTIVITY</v>
      </c>
      <c r="C693" s="4">
        <v>71</v>
      </c>
      <c r="D693" s="3">
        <v>1.8211617</v>
      </c>
      <c r="E693" s="1">
        <v>0</v>
      </c>
      <c r="F693" s="2">
        <v>6.2068026000000002E-3</v>
      </c>
    </row>
    <row r="694" spans="1:6" x14ac:dyDescent="0.25">
      <c r="A694" t="s">
        <v>6</v>
      </c>
      <c r="B694" s="5" t="str">
        <f>HYPERLINK("http://www.broadinstitute.org/gsea/msigdb/cards/GOBP_LYMPH_VESSEL_DEVELOPMENT.html","GOBP_LYMPH_VESSEL_DEVELOPMENT")</f>
        <v>GOBP_LYMPH_VESSEL_DEVELOPMENT</v>
      </c>
      <c r="C694" s="4">
        <v>32</v>
      </c>
      <c r="D694" s="3">
        <v>1.8210417999999999</v>
      </c>
      <c r="E694" s="1">
        <v>1.6528926E-3</v>
      </c>
      <c r="F694" s="2">
        <v>6.2103879999999998E-3</v>
      </c>
    </row>
    <row r="695" spans="1:6" x14ac:dyDescent="0.25">
      <c r="A695" t="s">
        <v>6</v>
      </c>
      <c r="B695" s="5" t="str">
        <f>HYPERLINK("http://www.broadinstitute.org/gsea/msigdb/cards/GOBP_B_CELL_HOMEOSTASIS.html","GOBP_B_CELL_HOMEOSTASIS")</f>
        <v>GOBP_B_CELL_HOMEOSTASIS</v>
      </c>
      <c r="C695" s="4">
        <v>44</v>
      </c>
      <c r="D695" s="3">
        <v>1.8203583999999999</v>
      </c>
      <c r="E695" s="1">
        <v>0</v>
      </c>
      <c r="F695" s="2">
        <v>6.2827324000000002E-3</v>
      </c>
    </row>
    <row r="696" spans="1:6" x14ac:dyDescent="0.25">
      <c r="A696" t="s">
        <v>6</v>
      </c>
      <c r="B696" s="5" t="str">
        <f>HYPERLINK("http://www.broadinstitute.org/gsea/msigdb/cards/GOBP_REGULATION_OF_MAP_KINASE_ACTIVITY.html","GOBP_REGULATION_OF_MAP_KINASE_ACTIVITY")</f>
        <v>GOBP_REGULATION_OF_MAP_KINASE_ACTIVITY</v>
      </c>
      <c r="C696" s="4">
        <v>193</v>
      </c>
      <c r="D696" s="3">
        <v>1.82026</v>
      </c>
      <c r="E696" s="1">
        <v>0</v>
      </c>
      <c r="F696" s="2">
        <v>6.2830233999999997E-3</v>
      </c>
    </row>
    <row r="697" spans="1:6" x14ac:dyDescent="0.25">
      <c r="A697" t="s">
        <v>7</v>
      </c>
      <c r="B697" s="5" t="str">
        <f>HYPERLINK("http://www.broadinstitute.org/gsea/msigdb/cards/GOCC_INTEGRIN_COMPLEX.html","GOCC_INTEGRIN_COMPLEX")</f>
        <v>GOCC_INTEGRIN_COMPLEX</v>
      </c>
      <c r="C697" s="4">
        <v>33</v>
      </c>
      <c r="D697" s="3">
        <v>1.8201578</v>
      </c>
      <c r="E697" s="1">
        <v>0</v>
      </c>
      <c r="F697" s="2">
        <v>6.2864454999999996E-3</v>
      </c>
    </row>
    <row r="698" spans="1:6" x14ac:dyDescent="0.25">
      <c r="A698" t="s">
        <v>6</v>
      </c>
      <c r="B698" s="5" t="str">
        <f>HYPERLINK("http://www.broadinstitute.org/gsea/msigdb/cards/GOBP_REGULATION_OF_RESPONSE_TO_WOUNDING.html","GOBP_REGULATION_OF_RESPONSE_TO_WOUNDING")</f>
        <v>GOBP_REGULATION_OF_RESPONSE_TO_WOUNDING</v>
      </c>
      <c r="C698" s="4">
        <v>169</v>
      </c>
      <c r="D698" s="3">
        <v>1.8197426000000001</v>
      </c>
      <c r="E698" s="1">
        <v>0</v>
      </c>
      <c r="F698" s="2">
        <v>6.3209889999999999E-3</v>
      </c>
    </row>
    <row r="699" spans="1:6" x14ac:dyDescent="0.25">
      <c r="A699" t="s">
        <v>6</v>
      </c>
      <c r="B699" s="5" t="str">
        <f>HYPERLINK("http://www.broadinstitute.org/gsea/msigdb/cards/GOBP_RESPONSE_TO_ENDOPLASMIC_RETICULUM_STRESS.html","GOBP_RESPONSE_TO_ENDOPLASMIC_RETICULUM_STRESS")</f>
        <v>GOBP_RESPONSE_TO_ENDOPLASMIC_RETICULUM_STRESS</v>
      </c>
      <c r="C699" s="4">
        <v>260</v>
      </c>
      <c r="D699" s="3">
        <v>1.8190417999999999</v>
      </c>
      <c r="E699" s="1">
        <v>0</v>
      </c>
      <c r="F699" s="2">
        <v>6.3554863000000001E-3</v>
      </c>
    </row>
    <row r="700" spans="1:6" x14ac:dyDescent="0.25">
      <c r="A700" t="s">
        <v>6</v>
      </c>
      <c r="B700" s="5" t="str">
        <f>HYPERLINK("http://www.broadinstitute.org/gsea/msigdb/cards/GOBP_NECROPTOTIC_PROCESS.html","GOBP_NECROPTOTIC_PROCESS")</f>
        <v>GOBP_NECROPTOTIC_PROCESS</v>
      </c>
      <c r="C700" s="4">
        <v>38</v>
      </c>
      <c r="D700" s="3">
        <v>1.8185034</v>
      </c>
      <c r="E700" s="1">
        <v>0</v>
      </c>
      <c r="F700" s="2">
        <v>6.4054597000000003E-3</v>
      </c>
    </row>
    <row r="701" spans="1:6" x14ac:dyDescent="0.25">
      <c r="A701" t="s">
        <v>8</v>
      </c>
      <c r="B701" s="5" t="str">
        <f>HYPERLINK("http://www.broadinstitute.org/gsea/msigdb/cards/GOMF_PROTEIN_TYROSINE_KINASE_BINDING.html","GOMF_PROTEIN_TYROSINE_KINASE_BINDING")</f>
        <v>GOMF_PROTEIN_TYROSINE_KINASE_BINDING</v>
      </c>
      <c r="C701" s="4">
        <v>125</v>
      </c>
      <c r="D701" s="3">
        <v>1.8181642</v>
      </c>
      <c r="E701" s="1">
        <v>0</v>
      </c>
      <c r="F701" s="2">
        <v>6.4180469999999996E-3</v>
      </c>
    </row>
    <row r="702" spans="1:6" x14ac:dyDescent="0.25">
      <c r="A702" t="s">
        <v>6</v>
      </c>
      <c r="B702" s="5" t="str">
        <f>HYPERLINK("http://www.broadinstitute.org/gsea/msigdb/cards/GOBP_NEGATIVE_REGULATION_OF_CELL_MIGRATION_INVOLVED_IN_SPROUTING_ANGIOGENESIS.html","GOBP_NEGATIVE_REGULATION_OF_CELL_MIGRATION_INVOLVED_IN_SPROUTING_ANGIOGENESIS")</f>
        <v>GOBP_NEGATIVE_REGULATION_OF_CELL_MIGRATION_INVOLVED_IN_SPROUTING_ANGIOGENESIS</v>
      </c>
      <c r="C702" s="4">
        <v>16</v>
      </c>
      <c r="D702" s="3">
        <v>1.8179320999999999</v>
      </c>
      <c r="E702" s="1">
        <v>1.8148820000000001E-3</v>
      </c>
      <c r="F702" s="2">
        <v>6.4336065999999999E-3</v>
      </c>
    </row>
    <row r="703" spans="1:6" x14ac:dyDescent="0.25">
      <c r="A703" t="s">
        <v>9</v>
      </c>
      <c r="B703" s="5" t="str">
        <f>HYPERLINK("http://www.broadinstitute.org/gsea/msigdb/cards/HALLMARK_APICAL_JUNCTION.html","HALLMARK_APICAL_JUNCTION")</f>
        <v>HALLMARK_APICAL_JUNCTION</v>
      </c>
      <c r="C703" s="4">
        <v>198</v>
      </c>
      <c r="D703" s="3">
        <v>1.8176447</v>
      </c>
      <c r="E703" s="1">
        <v>0</v>
      </c>
      <c r="F703" s="2">
        <v>6.4445036000000001E-3</v>
      </c>
    </row>
    <row r="704" spans="1:6" x14ac:dyDescent="0.25">
      <c r="A704" t="s">
        <v>6</v>
      </c>
      <c r="B704" s="5" t="str">
        <f>HYPERLINK("http://www.broadinstitute.org/gsea/msigdb/cards/GOBP_REGULATION_OF_LYSOSOMAL_LUMEN_PH.html","GOBP_REGULATION_OF_LYSOSOMAL_LUMEN_PH")</f>
        <v>GOBP_REGULATION_OF_LYSOSOMAL_LUMEN_PH</v>
      </c>
      <c r="C704" s="4">
        <v>22</v>
      </c>
      <c r="D704" s="3">
        <v>1.8168993</v>
      </c>
      <c r="E704" s="1">
        <v>0</v>
      </c>
      <c r="F704" s="2">
        <v>6.492495E-3</v>
      </c>
    </row>
    <row r="705" spans="1:6" x14ac:dyDescent="0.25">
      <c r="A705" t="s">
        <v>6</v>
      </c>
      <c r="B705" s="5" t="str">
        <f>HYPERLINK("http://www.broadinstitute.org/gsea/msigdb/cards/GOBP_SMALL_GTPASE_MEDIATED_SIGNAL_TRANSDUCTION.html","GOBP_SMALL_GTPASE_MEDIATED_SIGNAL_TRANSDUCTION")</f>
        <v>GOBP_SMALL_GTPASE_MEDIATED_SIGNAL_TRANSDUCTION</v>
      </c>
      <c r="C705" s="4">
        <v>422</v>
      </c>
      <c r="D705" s="3">
        <v>1.8162296</v>
      </c>
      <c r="E705" s="1">
        <v>0</v>
      </c>
      <c r="F705" s="2">
        <v>6.5218126000000003E-3</v>
      </c>
    </row>
    <row r="706" spans="1:6" x14ac:dyDescent="0.25">
      <c r="A706" t="s">
        <v>7</v>
      </c>
      <c r="B706" s="5" t="str">
        <f>HYPERLINK("http://www.broadinstitute.org/gsea/msigdb/cards/GOCC_GOLGI_ASSOCIATED_VESICLE_MEMBRANE.html","GOCC_GOLGI_ASSOCIATED_VESICLE_MEMBRANE")</f>
        <v>GOCC_GOLGI_ASSOCIATED_VESICLE_MEMBRANE</v>
      </c>
      <c r="C706" s="4">
        <v>45</v>
      </c>
      <c r="D706" s="3">
        <v>1.8159927</v>
      </c>
      <c r="E706" s="1">
        <v>1.6750419E-3</v>
      </c>
      <c r="F706" s="2">
        <v>6.5295096000000004E-3</v>
      </c>
    </row>
    <row r="707" spans="1:6" x14ac:dyDescent="0.25">
      <c r="A707" t="s">
        <v>6</v>
      </c>
      <c r="B707" s="5" t="str">
        <f>HYPERLINK("http://www.broadinstitute.org/gsea/msigdb/cards/GOBP_APOPTOTIC_CELL_CLEARANCE.html","GOBP_APOPTOTIC_CELL_CLEARANCE")</f>
        <v>GOBP_APOPTOTIC_CELL_CLEARANCE</v>
      </c>
      <c r="C707" s="4">
        <v>42</v>
      </c>
      <c r="D707" s="3">
        <v>1.8154049999999999</v>
      </c>
      <c r="E707" s="1">
        <v>0</v>
      </c>
      <c r="F707" s="2">
        <v>6.5647070000000004E-3</v>
      </c>
    </row>
    <row r="708" spans="1:6" x14ac:dyDescent="0.25">
      <c r="A708" t="s">
        <v>6</v>
      </c>
      <c r="B708" s="5" t="str">
        <f>HYPERLINK("http://www.broadinstitute.org/gsea/msigdb/cards/GOBP_ACUTE_INFLAMMATORY_RESPONSE_TO_ANTIGENIC_STIMULUS.html","GOBP_ACUTE_INFLAMMATORY_RESPONSE_TO_ANTIGENIC_STIMULUS")</f>
        <v>GOBP_ACUTE_INFLAMMATORY_RESPONSE_TO_ANTIGENIC_STIMULUS</v>
      </c>
      <c r="C708" s="4">
        <v>43</v>
      </c>
      <c r="D708" s="3">
        <v>1.8148857</v>
      </c>
      <c r="E708" s="1">
        <v>3.0864197999999998E-3</v>
      </c>
      <c r="F708" s="2">
        <v>6.6107796E-3</v>
      </c>
    </row>
    <row r="709" spans="1:6" x14ac:dyDescent="0.25">
      <c r="A709" t="s">
        <v>6</v>
      </c>
      <c r="B709" s="5" t="str">
        <f>HYPERLINK("http://www.broadinstitute.org/gsea/msigdb/cards/GOBP_PHAGOCYTOSIS_RECOGNITION.html","GOBP_PHAGOCYTOSIS_RECOGNITION")</f>
        <v>GOBP_PHAGOCYTOSIS_RECOGNITION</v>
      </c>
      <c r="C709" s="4">
        <v>25</v>
      </c>
      <c r="D709" s="3">
        <v>1.8134115</v>
      </c>
      <c r="E709" s="1">
        <v>0</v>
      </c>
      <c r="F709" s="2">
        <v>6.7364069999999998E-3</v>
      </c>
    </row>
    <row r="710" spans="1:6" x14ac:dyDescent="0.25">
      <c r="A710" t="s">
        <v>6</v>
      </c>
      <c r="B710" s="5" t="str">
        <f>HYPERLINK("http://www.broadinstitute.org/gsea/msigdb/cards/GOBP_REGULATION_OF_CD8_POSITIVE_ALPHA_BETA_T_CELL_ACTIVATION.html","GOBP_REGULATION_OF_CD8_POSITIVE_ALPHA_BETA_T_CELL_ACTIVATION")</f>
        <v>GOBP_REGULATION_OF_CD8_POSITIVE_ALPHA_BETA_T_CELL_ACTIVATION</v>
      </c>
      <c r="C710" s="4">
        <v>33</v>
      </c>
      <c r="D710" s="3">
        <v>1.8133174999999999</v>
      </c>
      <c r="E710" s="1">
        <v>0</v>
      </c>
      <c r="F710" s="2">
        <v>6.7345479999999999E-3</v>
      </c>
    </row>
    <row r="711" spans="1:6" x14ac:dyDescent="0.25">
      <c r="A711" t="s">
        <v>6</v>
      </c>
      <c r="B711" s="5" t="str">
        <f>HYPERLINK("http://www.broadinstitute.org/gsea/msigdb/cards/GOBP_FC_RECEPTOR_SIGNALING_PATHWAY.html","GOBP_FC_RECEPTOR_SIGNALING_PATHWAY")</f>
        <v>GOBP_FC_RECEPTOR_SIGNALING_PATHWAY</v>
      </c>
      <c r="C711" s="4">
        <v>19</v>
      </c>
      <c r="D711" s="3">
        <v>1.8130382</v>
      </c>
      <c r="E711" s="1">
        <v>0</v>
      </c>
      <c r="F711" s="2">
        <v>6.7418831999999998E-3</v>
      </c>
    </row>
    <row r="712" spans="1:6" x14ac:dyDescent="0.25">
      <c r="A712" t="s">
        <v>11</v>
      </c>
      <c r="B712" s="5" t="str">
        <f>HYPERLINK("http://www.broadinstitute.org/gsea/msigdb/cards/WP_EGFR1_SIGNALING_PATHWAY.html","WP_EGFR1_SIGNALING_PATHWAY")</f>
        <v>WP_EGFR1_SIGNALING_PATHWAY</v>
      </c>
      <c r="C712" s="4">
        <v>174</v>
      </c>
      <c r="D712" s="3">
        <v>1.8129831999999999</v>
      </c>
      <c r="E712" s="1">
        <v>0</v>
      </c>
      <c r="F712" s="2">
        <v>6.7400079999999996E-3</v>
      </c>
    </row>
    <row r="713" spans="1:6" x14ac:dyDescent="0.25">
      <c r="A713" t="s">
        <v>6</v>
      </c>
      <c r="B713" s="5" t="str">
        <f>HYPERLINK("http://www.broadinstitute.org/gsea/msigdb/cards/GOBP_MODULATION_OF_PROCESS_OF_ANOTHER_ORGANISM.html","GOBP_MODULATION_OF_PROCESS_OF_ANOTHER_ORGANISM")</f>
        <v>GOBP_MODULATION_OF_PROCESS_OF_ANOTHER_ORGANISM</v>
      </c>
      <c r="C713" s="4">
        <v>19</v>
      </c>
      <c r="D713" s="3">
        <v>1.8124057</v>
      </c>
      <c r="E713" s="1">
        <v>0</v>
      </c>
      <c r="F713" s="2">
        <v>6.7807804000000003E-3</v>
      </c>
    </row>
    <row r="714" spans="1:6" x14ac:dyDescent="0.25">
      <c r="A714" t="s">
        <v>6</v>
      </c>
      <c r="B714" s="5" t="str">
        <f>HYPERLINK("http://www.broadinstitute.org/gsea/msigdb/cards/GOBP_NEGATIVE_REGULATION_OF_EXOCYTOSIS.html","GOBP_NEGATIVE_REGULATION_OF_EXOCYTOSIS")</f>
        <v>GOBP_NEGATIVE_REGULATION_OF_EXOCYTOSIS</v>
      </c>
      <c r="C714" s="4">
        <v>36</v>
      </c>
      <c r="D714" s="3">
        <v>1.8121837000000001</v>
      </c>
      <c r="E714" s="1">
        <v>1.7182130999999999E-3</v>
      </c>
      <c r="F714" s="2">
        <v>6.7895050000000004E-3</v>
      </c>
    </row>
    <row r="715" spans="1:6" x14ac:dyDescent="0.25">
      <c r="A715" t="s">
        <v>10</v>
      </c>
      <c r="B715" s="5" t="str">
        <f>HYPERLINK("http://www.broadinstitute.org/gsea/msigdb/cards/REACTOME_KERATAN_SULFATE_BIOSYNTHESIS.html","REACTOME_KERATAN_SULFATE_BIOSYNTHESIS")</f>
        <v>REACTOME_KERATAN_SULFATE_BIOSYNTHESIS</v>
      </c>
      <c r="C715" s="4">
        <v>27</v>
      </c>
      <c r="D715" s="3">
        <v>1.8120335000000001</v>
      </c>
      <c r="E715" s="1">
        <v>1.7182130999999999E-3</v>
      </c>
      <c r="F715" s="2">
        <v>6.792223E-3</v>
      </c>
    </row>
    <row r="716" spans="1:6" x14ac:dyDescent="0.25">
      <c r="A716" t="s">
        <v>6</v>
      </c>
      <c r="B716" s="5" t="str">
        <f>HYPERLINK("http://www.broadinstitute.org/gsea/msigdb/cards/GOBP_GOLGI_VESICLE_TRANSPORT.html","GOBP_GOLGI_VESICLE_TRANSPORT")</f>
        <v>GOBP_GOLGI_VESICLE_TRANSPORT</v>
      </c>
      <c r="C716" s="4">
        <v>277</v>
      </c>
      <c r="D716" s="3">
        <v>1.8113465</v>
      </c>
      <c r="E716" s="1">
        <v>0</v>
      </c>
      <c r="F716" s="2">
        <v>6.8282485E-3</v>
      </c>
    </row>
    <row r="717" spans="1:6" x14ac:dyDescent="0.25">
      <c r="A717" t="s">
        <v>6</v>
      </c>
      <c r="B717" s="5" t="str">
        <f>HYPERLINK("http://www.broadinstitute.org/gsea/msigdb/cards/GOBP_ENDOPLASMIC_RETICULUM_UNFOLDED_PROTEIN_RESPONSE.html","GOBP_ENDOPLASMIC_RETICULUM_UNFOLDED_PROTEIN_RESPONSE")</f>
        <v>GOBP_ENDOPLASMIC_RETICULUM_UNFOLDED_PROTEIN_RESPONSE</v>
      </c>
      <c r="C717" s="4">
        <v>68</v>
      </c>
      <c r="D717" s="3">
        <v>1.8108792</v>
      </c>
      <c r="E717" s="1">
        <v>1.607717E-3</v>
      </c>
      <c r="F717" s="2">
        <v>6.8717020000000004E-3</v>
      </c>
    </row>
    <row r="718" spans="1:6" x14ac:dyDescent="0.25">
      <c r="A718" t="s">
        <v>6</v>
      </c>
      <c r="B718" s="5" t="str">
        <f>HYPERLINK("http://www.broadinstitute.org/gsea/msigdb/cards/GOBP_RESPONSE_TO_DSRNA.html","GOBP_RESPONSE_TO_DSRNA")</f>
        <v>GOBP_RESPONSE_TO_DSRNA</v>
      </c>
      <c r="C718" s="4">
        <v>46</v>
      </c>
      <c r="D718" s="3">
        <v>1.8106099</v>
      </c>
      <c r="E718" s="1">
        <v>1.5898251E-3</v>
      </c>
      <c r="F718" s="2">
        <v>6.8818450000000001E-3</v>
      </c>
    </row>
    <row r="719" spans="1:6" x14ac:dyDescent="0.25">
      <c r="A719" t="s">
        <v>6</v>
      </c>
      <c r="B719" s="5" t="str">
        <f>HYPERLINK("http://www.broadinstitute.org/gsea/msigdb/cards/GOBP_ALDITOL_METABOLIC_PROCESS.html","GOBP_ALDITOL_METABOLIC_PROCESS")</f>
        <v>GOBP_ALDITOL_METABOLIC_PROCESS</v>
      </c>
      <c r="C719" s="4">
        <v>25</v>
      </c>
      <c r="D719" s="3">
        <v>1.8104492000000001</v>
      </c>
      <c r="E719" s="1">
        <v>1.7006802000000001E-3</v>
      </c>
      <c r="F719" s="2">
        <v>6.8813060000000002E-3</v>
      </c>
    </row>
    <row r="720" spans="1:6" x14ac:dyDescent="0.25">
      <c r="A720" t="s">
        <v>6</v>
      </c>
      <c r="B720" s="5" t="str">
        <f>HYPERLINK("http://www.broadinstitute.org/gsea/msigdb/cards/GOBP_TYROSINE_PHOSPHORYLATION_OF_STAT_PROTEIN.html","GOBP_TYROSINE_PHOSPHORYLATION_OF_STAT_PROTEIN")</f>
        <v>GOBP_TYROSINE_PHOSPHORYLATION_OF_STAT_PROTEIN</v>
      </c>
      <c r="C720" s="4">
        <v>71</v>
      </c>
      <c r="D720" s="3">
        <v>1.8100503999999999</v>
      </c>
      <c r="E720" s="1">
        <v>0</v>
      </c>
      <c r="F720" s="2">
        <v>6.9033580000000001E-3</v>
      </c>
    </row>
    <row r="721" spans="1:6" x14ac:dyDescent="0.25">
      <c r="A721" t="s">
        <v>6</v>
      </c>
      <c r="B721" s="5" t="str">
        <f>HYPERLINK("http://www.broadinstitute.org/gsea/msigdb/cards/GOBP_POSITIVE_REGULATION_OF_PHOSPHATIDYLINOSITOL_3_KINASE_PROTEIN_KINASE_B_SIGNAL_TRANSDUCTION.html","GOBP_POSITIVE_REGULATION_OF_PHOSPHATIDYLINOSITOL_3_KINASE_PROTEIN_KINASE_B_SIGNAL_TRANSDUCTION")</f>
        <v>GOBP_POSITIVE_REGULATION_OF_PHOSPHATIDYLINOSITOL_3_KINASE_PROTEIN_KINASE_B_SIGNAL_TRANSDUCTION</v>
      </c>
      <c r="C721" s="4">
        <v>176</v>
      </c>
      <c r="D721" s="3">
        <v>1.8097384999999999</v>
      </c>
      <c r="E721" s="1">
        <v>0</v>
      </c>
      <c r="F721" s="2">
        <v>6.9239703000000003E-3</v>
      </c>
    </row>
    <row r="722" spans="1:6" x14ac:dyDescent="0.25">
      <c r="A722" t="s">
        <v>6</v>
      </c>
      <c r="B722" s="5" t="str">
        <f>HYPERLINK("http://www.broadinstitute.org/gsea/msigdb/cards/GOBP_RECEPTOR_INTERNALIZATION.html","GOBP_RECEPTOR_INTERNALIZATION")</f>
        <v>GOBP_RECEPTOR_INTERNALIZATION</v>
      </c>
      <c r="C722" s="4">
        <v>148</v>
      </c>
      <c r="D722" s="3">
        <v>1.8095840000000001</v>
      </c>
      <c r="E722" s="1">
        <v>0</v>
      </c>
      <c r="F722" s="2">
        <v>6.9294344000000001E-3</v>
      </c>
    </row>
    <row r="723" spans="1:6" x14ac:dyDescent="0.25">
      <c r="A723" t="s">
        <v>6</v>
      </c>
      <c r="B723" s="5" t="str">
        <f>HYPERLINK("http://www.broadinstitute.org/gsea/msigdb/cards/GOBP_REGULATION_OF_MYELOID_CELL_DIFFERENTIATION.html","GOBP_REGULATION_OF_MYELOID_CELL_DIFFERENTIATION")</f>
        <v>GOBP_REGULATION_OF_MYELOID_CELL_DIFFERENTIATION</v>
      </c>
      <c r="C723" s="4">
        <v>221</v>
      </c>
      <c r="D723" s="3">
        <v>1.8084754000000001</v>
      </c>
      <c r="E723" s="1">
        <v>0</v>
      </c>
      <c r="F723" s="2">
        <v>6.9995387000000003E-3</v>
      </c>
    </row>
    <row r="724" spans="1:6" x14ac:dyDescent="0.25">
      <c r="A724" t="s">
        <v>6</v>
      </c>
      <c r="B724" s="5" t="str">
        <f>HYPERLINK("http://www.broadinstitute.org/gsea/msigdb/cards/GOBP_PEPTIDYL_TYROSINE_AUTOPHOSPHORYLATION.html","GOBP_PEPTIDYL_TYROSINE_AUTOPHOSPHORYLATION")</f>
        <v>GOBP_PEPTIDYL_TYROSINE_AUTOPHOSPHORYLATION</v>
      </c>
      <c r="C724" s="4">
        <v>26</v>
      </c>
      <c r="D724" s="3">
        <v>1.8076597000000001</v>
      </c>
      <c r="E724" s="1">
        <v>0</v>
      </c>
      <c r="F724" s="2">
        <v>7.0528396999999998E-3</v>
      </c>
    </row>
    <row r="725" spans="1:6" x14ac:dyDescent="0.25">
      <c r="A725" t="s">
        <v>8</v>
      </c>
      <c r="B725" s="5" t="str">
        <f>HYPERLINK("http://www.broadinstitute.org/gsea/msigdb/cards/GOMF_CYTOKINE_ACTIVITY.html","GOMF_CYTOKINE_ACTIVITY")</f>
        <v>GOMF_CYTOKINE_ACTIVITY</v>
      </c>
      <c r="C725" s="4">
        <v>195</v>
      </c>
      <c r="D725" s="3">
        <v>1.8066659</v>
      </c>
      <c r="E725" s="1">
        <v>0</v>
      </c>
      <c r="F725" s="2">
        <v>7.1301856E-3</v>
      </c>
    </row>
    <row r="726" spans="1:6" x14ac:dyDescent="0.25">
      <c r="A726" t="s">
        <v>6</v>
      </c>
      <c r="B726" s="5" t="str">
        <f>HYPERLINK("http://www.broadinstitute.org/gsea/msigdb/cards/GOBP_POSITIVE_REGULATION_OF_FATTY_ACID_BIOSYNTHETIC_PROCESS.html","GOBP_POSITIVE_REGULATION_OF_FATTY_ACID_BIOSYNTHETIC_PROCESS")</f>
        <v>GOBP_POSITIVE_REGULATION_OF_FATTY_ACID_BIOSYNTHETIC_PROCESS</v>
      </c>
      <c r="C726" s="4">
        <v>27</v>
      </c>
      <c r="D726" s="3">
        <v>1.8066442</v>
      </c>
      <c r="E726" s="1">
        <v>0</v>
      </c>
      <c r="F726" s="2">
        <v>7.1233086999999999E-3</v>
      </c>
    </row>
    <row r="727" spans="1:6" x14ac:dyDescent="0.25">
      <c r="A727" t="s">
        <v>6</v>
      </c>
      <c r="B727" s="5" t="str">
        <f>HYPERLINK("http://www.broadinstitute.org/gsea/msigdb/cards/GOBP_GAP_JUNCTION_ASSEMBLY.html","GOBP_GAP_JUNCTION_ASSEMBLY")</f>
        <v>GOBP_GAP_JUNCTION_ASSEMBLY</v>
      </c>
      <c r="C727" s="4">
        <v>17</v>
      </c>
      <c r="D727" s="3">
        <v>1.8061404000000001</v>
      </c>
      <c r="E727" s="1">
        <v>3.552398E-3</v>
      </c>
      <c r="F727" s="2">
        <v>7.1493676000000004E-3</v>
      </c>
    </row>
    <row r="728" spans="1:6" x14ac:dyDescent="0.25">
      <c r="A728" t="s">
        <v>8</v>
      </c>
      <c r="B728" s="5" t="str">
        <f>HYPERLINK("http://www.broadinstitute.org/gsea/msigdb/cards/GOMF_ENDOPEPTIDASE_REGULATOR_ACTIVITY.html","GOMF_ENDOPEPTIDASE_REGULATOR_ACTIVITY")</f>
        <v>GOMF_ENDOPEPTIDASE_REGULATOR_ACTIVITY</v>
      </c>
      <c r="C728" s="4">
        <v>181</v>
      </c>
      <c r="D728" s="3">
        <v>1.8049280000000001</v>
      </c>
      <c r="E728" s="1">
        <v>0</v>
      </c>
      <c r="F728" s="2">
        <v>7.2441095999999996E-3</v>
      </c>
    </row>
    <row r="729" spans="1:6" x14ac:dyDescent="0.25">
      <c r="A729" t="s">
        <v>6</v>
      </c>
      <c r="B729" s="5" t="str">
        <f>HYPERLINK("http://www.broadinstitute.org/gsea/msigdb/cards/GOBP_REGULATION_OF_LAMELLIPODIUM_ORGANIZATION.html","GOBP_REGULATION_OF_LAMELLIPODIUM_ORGANIZATION")</f>
        <v>GOBP_REGULATION_OF_LAMELLIPODIUM_ORGANIZATION</v>
      </c>
      <c r="C729" s="4">
        <v>51</v>
      </c>
      <c r="D729" s="3">
        <v>1.8040590000000001</v>
      </c>
      <c r="E729" s="1">
        <v>3.2679739999999999E-3</v>
      </c>
      <c r="F729" s="2">
        <v>7.3221045999999996E-3</v>
      </c>
    </row>
    <row r="730" spans="1:6" x14ac:dyDescent="0.25">
      <c r="A730" t="s">
        <v>6</v>
      </c>
      <c r="B730" s="5" t="str">
        <f>HYPERLINK("http://www.broadinstitute.org/gsea/msigdb/cards/GOBP_NEGATIVE_REGULATION_OF_ERK1_AND_ERK2_CASCADE.html","GOBP_NEGATIVE_REGULATION_OF_ERK1_AND_ERK2_CASCADE")</f>
        <v>GOBP_NEGATIVE_REGULATION_OF_ERK1_AND_ERK2_CASCADE</v>
      </c>
      <c r="C730" s="4">
        <v>82</v>
      </c>
      <c r="D730" s="3">
        <v>1.8040586000000001</v>
      </c>
      <c r="E730" s="1">
        <v>0</v>
      </c>
      <c r="F730" s="2">
        <v>7.3120329999999999E-3</v>
      </c>
    </row>
    <row r="731" spans="1:6" x14ac:dyDescent="0.25">
      <c r="A731" t="s">
        <v>8</v>
      </c>
      <c r="B731" s="5" t="str">
        <f>HYPERLINK("http://www.broadinstitute.org/gsea/msigdb/cards/GOMF_CARGO_RECEPTOR_ACTIVITY.html","GOMF_CARGO_RECEPTOR_ACTIVITY")</f>
        <v>GOMF_CARGO_RECEPTOR_ACTIVITY</v>
      </c>
      <c r="C731" s="4">
        <v>82</v>
      </c>
      <c r="D731" s="3">
        <v>1.8036846</v>
      </c>
      <c r="E731" s="1">
        <v>0</v>
      </c>
      <c r="F731" s="2">
        <v>7.3287967000000001E-3</v>
      </c>
    </row>
    <row r="732" spans="1:6" x14ac:dyDescent="0.25">
      <c r="A732" t="s">
        <v>6</v>
      </c>
      <c r="B732" s="5" t="str">
        <f>HYPERLINK("http://www.broadinstitute.org/gsea/msigdb/cards/GOBP_CELLULAR_RESPONSE_TO_LIPOPROTEIN_PARTICLE_STIMULUS.html","GOBP_CELLULAR_RESPONSE_TO_LIPOPROTEIN_PARTICLE_STIMULUS")</f>
        <v>GOBP_CELLULAR_RESPONSE_TO_LIPOPROTEIN_PARTICLE_STIMULUS</v>
      </c>
      <c r="C732" s="4">
        <v>38</v>
      </c>
      <c r="D732" s="3">
        <v>1.8032401</v>
      </c>
      <c r="E732" s="1">
        <v>1.55521E-3</v>
      </c>
      <c r="F732" s="2">
        <v>7.3677810000000003E-3</v>
      </c>
    </row>
    <row r="733" spans="1:6" x14ac:dyDescent="0.25">
      <c r="A733" t="s">
        <v>6</v>
      </c>
      <c r="B733" s="5" t="str">
        <f>HYPERLINK("http://www.broadinstitute.org/gsea/msigdb/cards/GOBP_CALCIUM_MEDIATED_SIGNALING.html","GOBP_CALCIUM_MEDIATED_SIGNALING")</f>
        <v>GOBP_CALCIUM_MEDIATED_SIGNALING</v>
      </c>
      <c r="C733" s="4">
        <v>200</v>
      </c>
      <c r="D733" s="3">
        <v>1.8028126</v>
      </c>
      <c r="E733" s="1">
        <v>0</v>
      </c>
      <c r="F733" s="2">
        <v>7.4111684000000002E-3</v>
      </c>
    </row>
    <row r="734" spans="1:6" x14ac:dyDescent="0.25">
      <c r="A734" t="s">
        <v>8</v>
      </c>
      <c r="B734" s="5" t="str">
        <f>HYPERLINK("http://www.broadinstitute.org/gsea/msigdb/cards/GOMF_PEPTIDASE_ACTIVATOR_ACTIVITY_INVOLVED_IN_APOPTOTIC_PROCESS.html","GOMF_PEPTIDASE_ACTIVATOR_ACTIVITY_INVOLVED_IN_APOPTOTIC_PROCESS")</f>
        <v>GOMF_PEPTIDASE_ACTIVATOR_ACTIVITY_INVOLVED_IN_APOPTOTIC_PROCESS</v>
      </c>
      <c r="C734" s="4">
        <v>19</v>
      </c>
      <c r="D734" s="3">
        <v>1.8025929000000001</v>
      </c>
      <c r="E734" s="1">
        <v>0</v>
      </c>
      <c r="F734" s="2">
        <v>7.4113807999999998E-3</v>
      </c>
    </row>
    <row r="735" spans="1:6" x14ac:dyDescent="0.25">
      <c r="A735" t="s">
        <v>8</v>
      </c>
      <c r="B735" s="5" t="str">
        <f>HYPERLINK("http://www.broadinstitute.org/gsea/msigdb/cards/GOMF_ANTIGEN_BINDING.html","GOMF_ANTIGEN_BINDING")</f>
        <v>GOMF_ANTIGEN_BINDING</v>
      </c>
      <c r="C735" s="4">
        <v>57</v>
      </c>
      <c r="D735" s="3">
        <v>1.8022100999999999</v>
      </c>
      <c r="E735" s="1">
        <v>1.6501650999999999E-3</v>
      </c>
      <c r="F735" s="2">
        <v>7.4397092999999997E-3</v>
      </c>
    </row>
    <row r="736" spans="1:6" x14ac:dyDescent="0.25">
      <c r="A736" t="s">
        <v>5</v>
      </c>
      <c r="B736" s="5" t="str">
        <f>HYPERLINK("http://www.broadinstitute.org/gsea/msigdb/cards/BIOCARTA_IL1R_PATHWAY.html","BIOCARTA_IL1R_PATHWAY")</f>
        <v>BIOCARTA_IL1R_PATHWAY</v>
      </c>
      <c r="C736" s="4">
        <v>29</v>
      </c>
      <c r="D736" s="3">
        <v>1.8019133000000001</v>
      </c>
      <c r="E736" s="1">
        <v>1.5822785000000001E-3</v>
      </c>
      <c r="F736" s="2">
        <v>7.4442889999999998E-3</v>
      </c>
    </row>
    <row r="737" spans="1:6" x14ac:dyDescent="0.25">
      <c r="A737" t="s">
        <v>10</v>
      </c>
      <c r="B737" s="5" t="str">
        <f>HYPERLINK("http://www.broadinstitute.org/gsea/msigdb/cards/REACTOME_RAC2_GTPASE_CYCLE.html","REACTOME_RAC2_GTPASE_CYCLE")</f>
        <v>REACTOME_RAC2_GTPASE_CYCLE</v>
      </c>
      <c r="C737" s="4">
        <v>84</v>
      </c>
      <c r="D737" s="3">
        <v>1.8016908</v>
      </c>
      <c r="E737" s="1">
        <v>0</v>
      </c>
      <c r="F737" s="2">
        <v>7.4489283999999998E-3</v>
      </c>
    </row>
    <row r="738" spans="1:6" x14ac:dyDescent="0.25">
      <c r="A738" t="s">
        <v>6</v>
      </c>
      <c r="B738" s="5" t="str">
        <f>HYPERLINK("http://www.broadinstitute.org/gsea/msigdb/cards/GOBP_NEGATIVE_REGULATION_OF_VIRAL_GENOME_REPLICATION.html","GOBP_NEGATIVE_REGULATION_OF_VIRAL_GENOME_REPLICATION")</f>
        <v>GOBP_NEGATIVE_REGULATION_OF_VIRAL_GENOME_REPLICATION</v>
      </c>
      <c r="C738" s="4">
        <v>53</v>
      </c>
      <c r="D738" s="3">
        <v>1.8013307999999999</v>
      </c>
      <c r="E738" s="1">
        <v>1.6051364E-3</v>
      </c>
      <c r="F738" s="2">
        <v>7.4712379999999998E-3</v>
      </c>
    </row>
    <row r="739" spans="1:6" x14ac:dyDescent="0.25">
      <c r="A739" t="s">
        <v>6</v>
      </c>
      <c r="B739" s="5" t="str">
        <f>HYPERLINK("http://www.broadinstitute.org/gsea/msigdb/cards/GOBP_CARBOHYDRATE_DERIVATIVE_CATABOLIC_PROCESS.html","GOBP_CARBOHYDRATE_DERIVATIVE_CATABOLIC_PROCESS")</f>
        <v>GOBP_CARBOHYDRATE_DERIVATIVE_CATABOLIC_PROCESS</v>
      </c>
      <c r="C739" s="4">
        <v>158</v>
      </c>
      <c r="D739" s="3">
        <v>1.799458</v>
      </c>
      <c r="E739" s="1">
        <v>0</v>
      </c>
      <c r="F739" s="2">
        <v>7.6334660000000002E-3</v>
      </c>
    </row>
    <row r="740" spans="1:6" x14ac:dyDescent="0.25">
      <c r="A740" t="s">
        <v>6</v>
      </c>
      <c r="B740" s="5" t="str">
        <f>HYPERLINK("http://www.broadinstitute.org/gsea/msigdb/cards/GOBP_PROTEIN_AUTOPHOSPHORYLATION.html","GOBP_PROTEIN_AUTOPHOSPHORYLATION")</f>
        <v>GOBP_PROTEIN_AUTOPHOSPHORYLATION</v>
      </c>
      <c r="C740" s="4">
        <v>237</v>
      </c>
      <c r="D740" s="3">
        <v>1.7991362</v>
      </c>
      <c r="E740" s="1">
        <v>0</v>
      </c>
      <c r="F740" s="2">
        <v>7.6437023999999998E-3</v>
      </c>
    </row>
    <row r="741" spans="1:6" x14ac:dyDescent="0.25">
      <c r="A741" t="s">
        <v>8</v>
      </c>
      <c r="B741" s="5" t="str">
        <f>HYPERLINK("http://www.broadinstitute.org/gsea/msigdb/cards/GOMF_PHOSPHATIDYLINOSITOL_BISPHOSPHATE_BINDING.html","GOMF_PHOSPHATIDYLINOSITOL_BISPHOSPHATE_BINDING")</f>
        <v>GOMF_PHOSPHATIDYLINOSITOL_BISPHOSPHATE_BINDING</v>
      </c>
      <c r="C741" s="4">
        <v>118</v>
      </c>
      <c r="D741" s="3">
        <v>1.7988154999999999</v>
      </c>
      <c r="E741" s="1">
        <v>0</v>
      </c>
      <c r="F741" s="2">
        <v>7.6567290000000001E-3</v>
      </c>
    </row>
    <row r="742" spans="1:6" x14ac:dyDescent="0.25">
      <c r="A742" t="s">
        <v>6</v>
      </c>
      <c r="B742" s="5" t="str">
        <f>HYPERLINK("http://www.broadinstitute.org/gsea/msigdb/cards/GOBP_VASCULOGENESIS.html","GOBP_VASCULOGENESIS")</f>
        <v>GOBP_VASCULOGENESIS</v>
      </c>
      <c r="C742" s="4">
        <v>96</v>
      </c>
      <c r="D742" s="3">
        <v>1.7986679000000001</v>
      </c>
      <c r="E742" s="1">
        <v>0</v>
      </c>
      <c r="F742" s="2">
        <v>7.6653794000000001E-3</v>
      </c>
    </row>
    <row r="743" spans="1:6" x14ac:dyDescent="0.25">
      <c r="A743" t="s">
        <v>11</v>
      </c>
      <c r="B743" s="5" t="str">
        <f>HYPERLINK("http://www.broadinstitute.org/gsea/msigdb/cards/WP_INTEGRIN_MEDIATED_CELL_ADHESION.html","WP_INTEGRIN_MEDIATED_CELL_ADHESION")</f>
        <v>WP_INTEGRIN_MEDIATED_CELL_ADHESION</v>
      </c>
      <c r="C743" s="4">
        <v>100</v>
      </c>
      <c r="D743" s="3">
        <v>1.7981102</v>
      </c>
      <c r="E743" s="1">
        <v>0</v>
      </c>
      <c r="F743" s="2">
        <v>7.7048022999999998E-3</v>
      </c>
    </row>
    <row r="744" spans="1:6" x14ac:dyDescent="0.25">
      <c r="A744" t="s">
        <v>7</v>
      </c>
      <c r="B744" s="5" t="str">
        <f>HYPERLINK("http://www.broadinstitute.org/gsea/msigdb/cards/GOCC_EXTRACELLULAR_EXOSOME.html","GOCC_EXTRACELLULAR_EXOSOME")</f>
        <v>GOCC_EXTRACELLULAR_EXOSOME</v>
      </c>
      <c r="C744" s="4">
        <v>89</v>
      </c>
      <c r="D744" s="3">
        <v>1.7978160000000001</v>
      </c>
      <c r="E744" s="1">
        <v>0</v>
      </c>
      <c r="F744" s="2">
        <v>7.7162715999999996E-3</v>
      </c>
    </row>
    <row r="745" spans="1:6" x14ac:dyDescent="0.25">
      <c r="A745" t="s">
        <v>6</v>
      </c>
      <c r="B745" s="5" t="str">
        <f>HYPERLINK("http://www.broadinstitute.org/gsea/msigdb/cards/GOBP_POSITIVE_REGULATION_OF_DEFENSE_RESPONSE_TO_VIRUS_BY_HOST.html","GOBP_POSITIVE_REGULATION_OF_DEFENSE_RESPONSE_TO_VIRUS_BY_HOST")</f>
        <v>GOBP_POSITIVE_REGULATION_OF_DEFENSE_RESPONSE_TO_VIRUS_BY_HOST</v>
      </c>
      <c r="C745" s="4">
        <v>32</v>
      </c>
      <c r="D745" s="3">
        <v>1.7972429000000001</v>
      </c>
      <c r="E745" s="1">
        <v>1.6420361E-3</v>
      </c>
      <c r="F745" s="2">
        <v>7.7568693000000001E-3</v>
      </c>
    </row>
    <row r="746" spans="1:6" x14ac:dyDescent="0.25">
      <c r="A746" t="s">
        <v>7</v>
      </c>
      <c r="B746" s="5" t="str">
        <f>HYPERLINK("http://www.broadinstitute.org/gsea/msigdb/cards/GOCC_CELL_SUBSTRATE_JUNCTION.html","GOCC_CELL_SUBSTRATE_JUNCTION")</f>
        <v>GOCC_CELL_SUBSTRATE_JUNCTION</v>
      </c>
      <c r="C746" s="4">
        <v>184</v>
      </c>
      <c r="D746" s="3">
        <v>1.7966200999999999</v>
      </c>
      <c r="E746" s="1">
        <v>0</v>
      </c>
      <c r="F746" s="2">
        <v>7.8090327000000003E-3</v>
      </c>
    </row>
    <row r="747" spans="1:6" x14ac:dyDescent="0.25">
      <c r="A747" t="s">
        <v>6</v>
      </c>
      <c r="B747" s="5" t="str">
        <f>HYPERLINK("http://www.broadinstitute.org/gsea/msigdb/cards/GOBP_NEGATIVE_REGULATION_OF_INFLAMMASOME_MEDIATED_SIGNALING_PATHWAY.html","GOBP_NEGATIVE_REGULATION_OF_INFLAMMASOME_MEDIATED_SIGNALING_PATHWAY")</f>
        <v>GOBP_NEGATIVE_REGULATION_OF_INFLAMMASOME_MEDIATED_SIGNALING_PATHWAY</v>
      </c>
      <c r="C747" s="4">
        <v>15</v>
      </c>
      <c r="D747" s="3">
        <v>1.7965194</v>
      </c>
      <c r="E747" s="1">
        <v>5.1282052999999999E-3</v>
      </c>
      <c r="F747" s="2">
        <v>7.8115957E-3</v>
      </c>
    </row>
    <row r="748" spans="1:6" x14ac:dyDescent="0.25">
      <c r="A748" t="s">
        <v>6</v>
      </c>
      <c r="B748" s="5" t="str">
        <f>HYPERLINK("http://www.broadinstitute.org/gsea/msigdb/cards/GOBP_TRANSITION_METAL_ION_TRANSPORT.html","GOBP_TRANSITION_METAL_ION_TRANSPORT")</f>
        <v>GOBP_TRANSITION_METAL_ION_TRANSPORT</v>
      </c>
      <c r="C748" s="4">
        <v>99</v>
      </c>
      <c r="D748" s="3">
        <v>1.7964880000000001</v>
      </c>
      <c r="E748" s="1">
        <v>0</v>
      </c>
      <c r="F748" s="2">
        <v>7.8025702000000001E-3</v>
      </c>
    </row>
    <row r="749" spans="1:6" x14ac:dyDescent="0.25">
      <c r="A749" t="s">
        <v>6</v>
      </c>
      <c r="B749" s="5" t="str">
        <f>HYPERLINK("http://www.broadinstitute.org/gsea/msigdb/cards/GOBP_REGULATION_OF_PROTEIN_SERINE_THREONINE_KINASE_ACTIVITY.html","GOBP_REGULATION_OF_PROTEIN_SERINE_THREONINE_KINASE_ACTIVITY")</f>
        <v>GOBP_REGULATION_OF_PROTEIN_SERINE_THREONINE_KINASE_ACTIVITY</v>
      </c>
      <c r="C749" s="4">
        <v>333</v>
      </c>
      <c r="D749" s="3">
        <v>1.7957212</v>
      </c>
      <c r="E749" s="1">
        <v>0</v>
      </c>
      <c r="F749" s="2">
        <v>7.8473299999999996E-3</v>
      </c>
    </row>
    <row r="750" spans="1:6" x14ac:dyDescent="0.25">
      <c r="A750" t="s">
        <v>10</v>
      </c>
      <c r="B750" s="5" t="str">
        <f>HYPERLINK("http://www.broadinstitute.org/gsea/msigdb/cards/REACTOME_INTERLEUKIN_3_INTERLEUKIN_5_AND_GM_CSF_SIGNALING.html","REACTOME_INTERLEUKIN_3_INTERLEUKIN_5_AND_GM_CSF_SIGNALING")</f>
        <v>REACTOME_INTERLEUKIN_3_INTERLEUKIN_5_AND_GM_CSF_SIGNALING</v>
      </c>
      <c r="C750" s="4">
        <v>38</v>
      </c>
      <c r="D750" s="3">
        <v>1.7952135</v>
      </c>
      <c r="E750" s="1">
        <v>3.2467531999999999E-3</v>
      </c>
      <c r="F750" s="2">
        <v>7.8918660000000009E-3</v>
      </c>
    </row>
    <row r="751" spans="1:6" x14ac:dyDescent="0.25">
      <c r="A751" t="s">
        <v>6</v>
      </c>
      <c r="B751" s="5" t="str">
        <f>HYPERLINK("http://www.broadinstitute.org/gsea/msigdb/cards/GOBP_REGULATION_OF_VIRAL_INDUCED_CYTOPLASMIC_PATTERN_RECOGNITION_RECEPTOR_SIGNALING_PATHWAY.html","GOBP_REGULATION_OF_VIRAL_INDUCED_CYTOPLASMIC_PATTERN_RECOGNITION_RECEPTOR_SIGNALING_PATHWAY")</f>
        <v>GOBP_REGULATION_OF_VIRAL_INDUCED_CYTOPLASMIC_PATTERN_RECOGNITION_RECEPTOR_SIGNALING_PATHWAY</v>
      </c>
      <c r="C751" s="4">
        <v>87</v>
      </c>
      <c r="D751" s="3">
        <v>1.7938725</v>
      </c>
      <c r="E751" s="1">
        <v>0</v>
      </c>
      <c r="F751" s="2">
        <v>8.0345079999999992E-3</v>
      </c>
    </row>
    <row r="752" spans="1:6" x14ac:dyDescent="0.25">
      <c r="A752" t="s">
        <v>6</v>
      </c>
      <c r="B752" s="5" t="str">
        <f>HYPERLINK("http://www.broadinstitute.org/gsea/msigdb/cards/GOBP_B_CELL_RECEPTOR_SIGNALING_PATHWAY.html","GOBP_B_CELL_RECEPTOR_SIGNALING_PATHWAY")</f>
        <v>GOBP_B_CELL_RECEPTOR_SIGNALING_PATHWAY</v>
      </c>
      <c r="C752" s="4">
        <v>53</v>
      </c>
      <c r="D752" s="3">
        <v>1.7933056000000001</v>
      </c>
      <c r="E752" s="1">
        <v>0</v>
      </c>
      <c r="F752" s="2">
        <v>8.0729370000000005E-3</v>
      </c>
    </row>
    <row r="753" spans="1:6" x14ac:dyDescent="0.25">
      <c r="A753" t="s">
        <v>6</v>
      </c>
      <c r="B753" s="5" t="str">
        <f>HYPERLINK("http://www.broadinstitute.org/gsea/msigdb/cards/GOBP_TRANSPORT_OF_VIRUS.html","GOBP_TRANSPORT_OF_VIRUS")</f>
        <v>GOBP_TRANSPORT_OF_VIRUS</v>
      </c>
      <c r="C753" s="4">
        <v>15</v>
      </c>
      <c r="D753" s="3">
        <v>1.7921370999999999</v>
      </c>
      <c r="E753" s="1">
        <v>1.8148820000000001E-3</v>
      </c>
      <c r="F753" s="2">
        <v>8.1746879999999994E-3</v>
      </c>
    </row>
    <row r="754" spans="1:6" x14ac:dyDescent="0.25">
      <c r="A754" t="s">
        <v>6</v>
      </c>
      <c r="B754" s="5" t="str">
        <f>HYPERLINK("http://www.broadinstitute.org/gsea/msigdb/cards/GOBP_MONONUCLEAR_CELL_DIFFERENTIATION.html","GOBP_MONONUCLEAR_CELL_DIFFERENTIATION")</f>
        <v>GOBP_MONONUCLEAR_CELL_DIFFERENTIATION</v>
      </c>
      <c r="C754" s="4">
        <v>487</v>
      </c>
      <c r="D754" s="3">
        <v>1.7920039999999999</v>
      </c>
      <c r="E754" s="1">
        <v>0</v>
      </c>
      <c r="F754" s="2">
        <v>8.1753360000000001E-3</v>
      </c>
    </row>
    <row r="755" spans="1:6" x14ac:dyDescent="0.25">
      <c r="A755" t="s">
        <v>6</v>
      </c>
      <c r="B755" s="5" t="str">
        <f>HYPERLINK("http://www.broadinstitute.org/gsea/msigdb/cards/GOBP_CELLULAR_RESPONSE_TO_HYDROGEN_PEROXIDE.html","GOBP_CELLULAR_RESPONSE_TO_HYDROGEN_PEROXIDE")</f>
        <v>GOBP_CELLULAR_RESPONSE_TO_HYDROGEN_PEROXIDE</v>
      </c>
      <c r="C755" s="4">
        <v>61</v>
      </c>
      <c r="D755" s="3">
        <v>1.7919544000000001</v>
      </c>
      <c r="E755" s="1">
        <v>0</v>
      </c>
      <c r="F755" s="2">
        <v>8.1687700000000005E-3</v>
      </c>
    </row>
    <row r="756" spans="1:6" x14ac:dyDescent="0.25">
      <c r="A756" t="s">
        <v>9</v>
      </c>
      <c r="B756" s="5" t="str">
        <f>HYPERLINK("http://www.broadinstitute.org/gsea/msigdb/cards/HALLMARK_APOPTOSIS.html","HALLMARK_APOPTOSIS")</f>
        <v>HALLMARK_APOPTOSIS</v>
      </c>
      <c r="C756" s="4">
        <v>160</v>
      </c>
      <c r="D756" s="3">
        <v>1.7909865</v>
      </c>
      <c r="E756" s="1">
        <v>0</v>
      </c>
      <c r="F756" s="2">
        <v>8.2499870000000003E-3</v>
      </c>
    </row>
    <row r="757" spans="1:6" x14ac:dyDescent="0.25">
      <c r="A757" t="s">
        <v>6</v>
      </c>
      <c r="B757" s="5" t="str">
        <f>HYPERLINK("http://www.broadinstitute.org/gsea/msigdb/cards/GOBP_REGULATION_OF_VASCULAR_ENDOTHELIAL_GROWTH_FACTOR_RECEPTOR_SIGNALING_PATHWAY.html","GOBP_REGULATION_OF_VASCULAR_ENDOTHELIAL_GROWTH_FACTOR_RECEPTOR_SIGNALING_PATHWAY")</f>
        <v>GOBP_REGULATION_OF_VASCULAR_ENDOTHELIAL_GROWTH_FACTOR_RECEPTOR_SIGNALING_PATHWAY</v>
      </c>
      <c r="C757" s="4">
        <v>33</v>
      </c>
      <c r="D757" s="3">
        <v>1.7906481000000001</v>
      </c>
      <c r="E757" s="1">
        <v>5.1635112999999996E-3</v>
      </c>
      <c r="F757" s="2">
        <v>8.2720720000000001E-3</v>
      </c>
    </row>
    <row r="758" spans="1:6" x14ac:dyDescent="0.25">
      <c r="A758" t="s">
        <v>6</v>
      </c>
      <c r="B758" s="5" t="str">
        <f>HYPERLINK("http://www.broadinstitute.org/gsea/msigdb/cards/GOBP_REGULATION_OF_VASCULOGENESIS.html","GOBP_REGULATION_OF_VASCULOGENESIS")</f>
        <v>GOBP_REGULATION_OF_VASCULOGENESIS</v>
      </c>
      <c r="C758" s="4">
        <v>16</v>
      </c>
      <c r="D758" s="3">
        <v>1.7895490000000001</v>
      </c>
      <c r="E758" s="1">
        <v>8.6655110000000007E-3</v>
      </c>
      <c r="F758" s="2">
        <v>8.3629499999999992E-3</v>
      </c>
    </row>
    <row r="759" spans="1:6" x14ac:dyDescent="0.25">
      <c r="A759" t="s">
        <v>6</v>
      </c>
      <c r="B759" s="5" t="str">
        <f>HYPERLINK("http://www.broadinstitute.org/gsea/msigdb/cards/GOBP_POSITIVE_REGULATION_OF_CD8_POSITIVE_ALPHA_BETA_T_CELL_ACTIVATION.html","GOBP_POSITIVE_REGULATION_OF_CD8_POSITIVE_ALPHA_BETA_T_CELL_ACTIVATION")</f>
        <v>GOBP_POSITIVE_REGULATION_OF_CD8_POSITIVE_ALPHA_BETA_T_CELL_ACTIVATION</v>
      </c>
      <c r="C759" s="4">
        <v>22</v>
      </c>
      <c r="D759" s="3">
        <v>1.7895004000000001</v>
      </c>
      <c r="E759" s="1">
        <v>3.4246575E-3</v>
      </c>
      <c r="F759" s="2">
        <v>8.3547870000000007E-3</v>
      </c>
    </row>
    <row r="760" spans="1:6" x14ac:dyDescent="0.25">
      <c r="A760" t="s">
        <v>6</v>
      </c>
      <c r="B760" s="5" t="str">
        <f>HYPERLINK("http://www.broadinstitute.org/gsea/msigdb/cards/GOBP_BIOLOGICAL_PROCESS_INVOLVED_IN_SYMBIOTIC_INTERACTION.html","GOBP_BIOLOGICAL_PROCESS_INVOLVED_IN_SYMBIOTIC_INTERACTION")</f>
        <v>GOBP_BIOLOGICAL_PROCESS_INVOLVED_IN_SYMBIOTIC_INTERACTION</v>
      </c>
      <c r="C760" s="4">
        <v>248</v>
      </c>
      <c r="D760" s="3">
        <v>1.7893627000000001</v>
      </c>
      <c r="E760" s="1">
        <v>0</v>
      </c>
      <c r="F760" s="2">
        <v>8.353681E-3</v>
      </c>
    </row>
    <row r="761" spans="1:6" x14ac:dyDescent="0.25">
      <c r="A761" t="s">
        <v>6</v>
      </c>
      <c r="B761" s="5" t="str">
        <f>HYPERLINK("http://www.broadinstitute.org/gsea/msigdb/cards/GOBP_NEGATIVE_REGULATION_OF_OSTEOCLAST_DIFFERENTIATION.html","GOBP_NEGATIVE_REGULATION_OF_OSTEOCLAST_DIFFERENTIATION")</f>
        <v>GOBP_NEGATIVE_REGULATION_OF_OSTEOCLAST_DIFFERENTIATION</v>
      </c>
      <c r="C761" s="4">
        <v>37</v>
      </c>
      <c r="D761" s="3">
        <v>1.7892846</v>
      </c>
      <c r="E761" s="1">
        <v>0</v>
      </c>
      <c r="F761" s="2">
        <v>8.3455200000000004E-3</v>
      </c>
    </row>
    <row r="762" spans="1:6" x14ac:dyDescent="0.25">
      <c r="A762" t="s">
        <v>7</v>
      </c>
      <c r="B762" s="5" t="str">
        <f>HYPERLINK("http://www.broadinstitute.org/gsea/msigdb/cards/GOCC_EXTRINSIC_COMPONENT_OF_CYTOPLASMIC_SIDE_OF_PLASMA_MEMBRANE.html","GOCC_EXTRINSIC_COMPONENT_OF_CYTOPLASMIC_SIDE_OF_PLASMA_MEMBRANE")</f>
        <v>GOCC_EXTRINSIC_COMPONENT_OF_CYTOPLASMIC_SIDE_OF_PLASMA_MEMBRANE</v>
      </c>
      <c r="C762" s="4">
        <v>72</v>
      </c>
      <c r="D762" s="3">
        <v>1.7890752999999999</v>
      </c>
      <c r="E762" s="1">
        <v>0</v>
      </c>
      <c r="F762" s="2">
        <v>8.3444480000000008E-3</v>
      </c>
    </row>
    <row r="763" spans="1:6" x14ac:dyDescent="0.25">
      <c r="A763" t="s">
        <v>11</v>
      </c>
      <c r="B763" s="5" t="str">
        <f>HYPERLINK("http://www.broadinstitute.org/gsea/msigdb/cards/WP_ALPHA_6_BETA_4_INTEGRIN_SIGNALING_PATHWAY.html","WP_ALPHA_6_BETA_4_INTEGRIN_SIGNALING_PATHWAY")</f>
        <v>WP_ALPHA_6_BETA_4_INTEGRIN_SIGNALING_PATHWAY</v>
      </c>
      <c r="C763" s="4">
        <v>65</v>
      </c>
      <c r="D763" s="3">
        <v>1.7890143000000001</v>
      </c>
      <c r="E763" s="1">
        <v>0</v>
      </c>
      <c r="F763" s="2">
        <v>8.3434389999999994E-3</v>
      </c>
    </row>
    <row r="764" spans="1:6" x14ac:dyDescent="0.25">
      <c r="A764" t="s">
        <v>6</v>
      </c>
      <c r="B764" s="5" t="str">
        <f>HYPERLINK("http://www.broadinstitute.org/gsea/msigdb/cards/GOBP_CD4_POSITIVE_ALPHA_BETA_T_CELL_ACTIVATION.html","GOBP_CD4_POSITIVE_ALPHA_BETA_T_CELL_ACTIVATION")</f>
        <v>GOBP_CD4_POSITIVE_ALPHA_BETA_T_CELL_ACTIVATION</v>
      </c>
      <c r="C764" s="4">
        <v>127</v>
      </c>
      <c r="D764" s="3">
        <v>1.7885139999999999</v>
      </c>
      <c r="E764" s="1">
        <v>0</v>
      </c>
      <c r="F764" s="2">
        <v>8.3794070000000002E-3</v>
      </c>
    </row>
    <row r="765" spans="1:6" x14ac:dyDescent="0.25">
      <c r="A765" t="s">
        <v>6</v>
      </c>
      <c r="B765" s="5" t="str">
        <f>HYPERLINK("http://www.broadinstitute.org/gsea/msigdb/cards/GOBP_REGULATION_OF_PHOSPHOLIPASE_ACTIVITY.html","GOBP_REGULATION_OF_PHOSPHOLIPASE_ACTIVITY")</f>
        <v>GOBP_REGULATION_OF_PHOSPHOLIPASE_ACTIVITY</v>
      </c>
      <c r="C765" s="4">
        <v>59</v>
      </c>
      <c r="D765" s="3">
        <v>1.7884652999999999</v>
      </c>
      <c r="E765" s="1">
        <v>0</v>
      </c>
      <c r="F765" s="2">
        <v>8.3755530000000009E-3</v>
      </c>
    </row>
    <row r="766" spans="1:6" x14ac:dyDescent="0.25">
      <c r="A766" t="s">
        <v>6</v>
      </c>
      <c r="B766" s="5" t="str">
        <f>HYPERLINK("http://www.broadinstitute.org/gsea/msigdb/cards/GOBP_REGULATION_OF_B_CELL_MEDIATED_IMMUNITY.html","GOBP_REGULATION_OF_B_CELL_MEDIATED_IMMUNITY")</f>
        <v>GOBP_REGULATION_OF_B_CELL_MEDIATED_IMMUNITY</v>
      </c>
      <c r="C766" s="4">
        <v>79</v>
      </c>
      <c r="D766" s="3">
        <v>1.7882553000000001</v>
      </c>
      <c r="E766" s="1">
        <v>0</v>
      </c>
      <c r="F766" s="2">
        <v>8.3802709999999999E-3</v>
      </c>
    </row>
    <row r="767" spans="1:6" x14ac:dyDescent="0.25">
      <c r="A767" t="s">
        <v>6</v>
      </c>
      <c r="B767" s="5" t="str">
        <f>HYPERLINK("http://www.broadinstitute.org/gsea/msigdb/cards/GOBP_LAMELLIPODIUM_ASSEMBLY.html","GOBP_LAMELLIPODIUM_ASSEMBLY")</f>
        <v>GOBP_LAMELLIPODIUM_ASSEMBLY</v>
      </c>
      <c r="C767" s="4">
        <v>73</v>
      </c>
      <c r="D767" s="3">
        <v>1.7882081000000001</v>
      </c>
      <c r="E767" s="1">
        <v>0</v>
      </c>
      <c r="F767" s="2">
        <v>8.3721460000000004E-3</v>
      </c>
    </row>
    <row r="768" spans="1:6" x14ac:dyDescent="0.25">
      <c r="A768" t="s">
        <v>6</v>
      </c>
      <c r="B768" s="5" t="str">
        <f>HYPERLINK("http://www.broadinstitute.org/gsea/msigdb/cards/GOBP_REGULATION_OF_LIPOPOLYSACCHARIDE_MEDIATED_SIGNALING_PATHWAY.html","GOBP_REGULATION_OF_LIPOPOLYSACCHARIDE_MEDIATED_SIGNALING_PATHWAY")</f>
        <v>GOBP_REGULATION_OF_LIPOPOLYSACCHARIDE_MEDIATED_SIGNALING_PATHWAY</v>
      </c>
      <c r="C768" s="4">
        <v>27</v>
      </c>
      <c r="D768" s="3">
        <v>1.787606</v>
      </c>
      <c r="E768" s="1">
        <v>5.1546389999999999E-3</v>
      </c>
      <c r="F768" s="2">
        <v>8.4388699999999994E-3</v>
      </c>
    </row>
    <row r="769" spans="1:6" x14ac:dyDescent="0.25">
      <c r="A769" t="s">
        <v>9</v>
      </c>
      <c r="B769" s="5" t="str">
        <f>HYPERLINK("http://www.broadinstitute.org/gsea/msigdb/cards/HALLMARK_UV_RESPONSE_DN.html","HALLMARK_UV_RESPONSE_DN")</f>
        <v>HALLMARK_UV_RESPONSE_DN</v>
      </c>
      <c r="C769" s="4">
        <v>144</v>
      </c>
      <c r="D769" s="3">
        <v>1.7875494999999999</v>
      </c>
      <c r="E769" s="1">
        <v>0</v>
      </c>
      <c r="F769" s="2">
        <v>8.434904E-3</v>
      </c>
    </row>
    <row r="770" spans="1:6" x14ac:dyDescent="0.25">
      <c r="A770" t="s">
        <v>8</v>
      </c>
      <c r="B770" s="5" t="str">
        <f>HYPERLINK("http://www.broadinstitute.org/gsea/msigdb/cards/GOMF_NUCLEOTIDE_RECEPTOR_ACTIVITY.html","GOMF_NUCLEOTIDE_RECEPTOR_ACTIVITY")</f>
        <v>GOMF_NUCLEOTIDE_RECEPTOR_ACTIVITY</v>
      </c>
      <c r="C770" s="4">
        <v>18</v>
      </c>
      <c r="D770" s="3">
        <v>1.7858670000000001</v>
      </c>
      <c r="E770" s="1">
        <v>5.0675672999999999E-3</v>
      </c>
      <c r="F770" s="2">
        <v>8.5637709999999995E-3</v>
      </c>
    </row>
    <row r="771" spans="1:6" x14ac:dyDescent="0.25">
      <c r="A771" t="s">
        <v>6</v>
      </c>
      <c r="B771" s="5" t="str">
        <f>HYPERLINK("http://www.broadinstitute.org/gsea/msigdb/cards/GOBP_RESPONSE_TO_YEAST.html","GOBP_RESPONSE_TO_YEAST")</f>
        <v>GOBP_RESPONSE_TO_YEAST</v>
      </c>
      <c r="C771" s="4">
        <v>16</v>
      </c>
      <c r="D771" s="3">
        <v>1.7850404</v>
      </c>
      <c r="E771" s="1">
        <v>5.2356019999999998E-3</v>
      </c>
      <c r="F771" s="2">
        <v>8.6287889999999996E-3</v>
      </c>
    </row>
    <row r="772" spans="1:6" x14ac:dyDescent="0.25">
      <c r="A772" t="s">
        <v>8</v>
      </c>
      <c r="B772" s="5" t="str">
        <f>HYPERLINK("http://www.broadinstitute.org/gsea/msigdb/cards/GOMF_LIPOPOLYSACCHARIDE_BINDING.html","GOMF_LIPOPOLYSACCHARIDE_BINDING")</f>
        <v>GOMF_LIPOPOLYSACCHARIDE_BINDING</v>
      </c>
      <c r="C772" s="4">
        <v>35</v>
      </c>
      <c r="D772" s="3">
        <v>1.7842773999999999</v>
      </c>
      <c r="E772" s="1">
        <v>1.7064846000000001E-3</v>
      </c>
      <c r="F772" s="2">
        <v>8.7034550000000006E-3</v>
      </c>
    </row>
    <row r="773" spans="1:6" x14ac:dyDescent="0.25">
      <c r="A773" t="s">
        <v>6</v>
      </c>
      <c r="B773" s="5" t="str">
        <f>HYPERLINK("http://www.broadinstitute.org/gsea/msigdb/cards/GOBP_NEGATIVE_REGULATION_OF_NATURAL_KILLER_CELL_MEDIATED_IMMUNITY.html","GOBP_NEGATIVE_REGULATION_OF_NATURAL_KILLER_CELL_MEDIATED_IMMUNITY")</f>
        <v>GOBP_NEGATIVE_REGULATION_OF_NATURAL_KILLER_CELL_MEDIATED_IMMUNITY</v>
      </c>
      <c r="C773" s="4">
        <v>35</v>
      </c>
      <c r="D773" s="3">
        <v>1.7841686000000001</v>
      </c>
      <c r="E773" s="1">
        <v>1.6638935E-3</v>
      </c>
      <c r="F773" s="2">
        <v>8.7019760000000002E-3</v>
      </c>
    </row>
    <row r="774" spans="1:6" x14ac:dyDescent="0.25">
      <c r="A774" t="s">
        <v>8</v>
      </c>
      <c r="B774" s="5" t="str">
        <f>HYPERLINK("http://www.broadinstitute.org/gsea/msigdb/cards/GOMF_LAMININ_BINDING.html","GOMF_LAMININ_BINDING")</f>
        <v>GOMF_LAMININ_BINDING</v>
      </c>
      <c r="C774" s="4">
        <v>31</v>
      </c>
      <c r="D774" s="3">
        <v>1.7840832</v>
      </c>
      <c r="E774" s="1">
        <v>1.7421603000000001E-3</v>
      </c>
      <c r="F774" s="2">
        <v>8.7005169999999996E-3</v>
      </c>
    </row>
    <row r="775" spans="1:6" x14ac:dyDescent="0.25">
      <c r="A775" t="s">
        <v>10</v>
      </c>
      <c r="B775" s="5" t="str">
        <f>HYPERLINK("http://www.broadinstitute.org/gsea/msigdb/cards/REACTOME_NEGATIVE_REGULATION_OF_THE_PI3K_AKT_NETWORK.html","REACTOME_NEGATIVE_REGULATION_OF_THE_PI3K_AKT_NETWORK")</f>
        <v>REACTOME_NEGATIVE_REGULATION_OF_THE_PI3K_AKT_NETWORK</v>
      </c>
      <c r="C775" s="4">
        <v>106</v>
      </c>
      <c r="D775" s="3">
        <v>1.7839322</v>
      </c>
      <c r="E775" s="1">
        <v>0</v>
      </c>
      <c r="F775" s="2">
        <v>8.7088930000000005E-3</v>
      </c>
    </row>
    <row r="776" spans="1:6" x14ac:dyDescent="0.25">
      <c r="A776" t="s">
        <v>8</v>
      </c>
      <c r="B776" s="5" t="str">
        <f>HYPERLINK("http://www.broadinstitute.org/gsea/msigdb/cards/GOMF_PHOSPHOLIPASE_ACTIVATOR_ACTIVITY.html","GOMF_PHOSPHOLIPASE_ACTIVATOR_ACTIVITY")</f>
        <v>GOMF_PHOSPHOLIPASE_ACTIVATOR_ACTIVITY</v>
      </c>
      <c r="C776" s="4">
        <v>15</v>
      </c>
      <c r="D776" s="3">
        <v>1.7837238</v>
      </c>
      <c r="E776" s="1">
        <v>3.4071549999999998E-3</v>
      </c>
      <c r="F776" s="2">
        <v>8.7172169999999993E-3</v>
      </c>
    </row>
    <row r="777" spans="1:6" x14ac:dyDescent="0.25">
      <c r="A777" t="s">
        <v>5</v>
      </c>
      <c r="B777" s="5" t="str">
        <f>HYPERLINK("http://www.broadinstitute.org/gsea/msigdb/cards/BIOCARTA_NFKB_PATHWAY.html","BIOCARTA_NFKB_PATHWAY")</f>
        <v>BIOCARTA_NFKB_PATHWAY</v>
      </c>
      <c r="C777" s="4">
        <v>21</v>
      </c>
      <c r="D777" s="3">
        <v>1.7836192</v>
      </c>
      <c r="E777" s="1">
        <v>3.4722222000000001E-3</v>
      </c>
      <c r="F777" s="2">
        <v>8.7157840000000007E-3</v>
      </c>
    </row>
    <row r="778" spans="1:6" x14ac:dyDescent="0.25">
      <c r="A778" t="s">
        <v>6</v>
      </c>
      <c r="B778" s="5" t="str">
        <f>HYPERLINK("http://www.broadinstitute.org/gsea/msigdb/cards/GOBP_REGULATION_OF_REACTIVE_OXYGEN_SPECIES_METABOLIC_PROCESS.html","GOBP_REGULATION_OF_REACTIVE_OXYGEN_SPECIES_METABOLIC_PROCESS")</f>
        <v>GOBP_REGULATION_OF_REACTIVE_OXYGEN_SPECIES_METABOLIC_PROCESS</v>
      </c>
      <c r="C778" s="4">
        <v>165</v>
      </c>
      <c r="D778" s="3">
        <v>1.7834843</v>
      </c>
      <c r="E778" s="1">
        <v>0</v>
      </c>
      <c r="F778" s="2">
        <v>8.7143180000000004E-3</v>
      </c>
    </row>
    <row r="779" spans="1:6" x14ac:dyDescent="0.25">
      <c r="A779" t="s">
        <v>6</v>
      </c>
      <c r="B779" s="5" t="str">
        <f>HYPERLINK("http://www.broadinstitute.org/gsea/msigdb/cards/GOBP_NEGATIVE_REGULATION_OF_RESPONSE_TO_EXTERNAL_STIMULUS.html","GOBP_NEGATIVE_REGULATION_OF_RESPONSE_TO_EXTERNAL_STIMULUS")</f>
        <v>GOBP_NEGATIVE_REGULATION_OF_RESPONSE_TO_EXTERNAL_STIMULUS</v>
      </c>
      <c r="C779" s="4">
        <v>438</v>
      </c>
      <c r="D779" s="3">
        <v>1.7832435</v>
      </c>
      <c r="E779" s="1">
        <v>0</v>
      </c>
      <c r="F779" s="2">
        <v>8.7184640000000004E-3</v>
      </c>
    </row>
    <row r="780" spans="1:6" x14ac:dyDescent="0.25">
      <c r="A780" t="s">
        <v>6</v>
      </c>
      <c r="B780" s="5" t="str">
        <f>HYPERLINK("http://www.broadinstitute.org/gsea/msigdb/cards/GOBP_BLOOD_VESSEL_ENDOTHELIAL_CELL_PROLIFERATION_INVOLVED_IN_SPROUTING_ANGIOGENESIS.html","GOBP_BLOOD_VESSEL_ENDOTHELIAL_CELL_PROLIFERATION_INVOLVED_IN_SPROUTING_ANGIOGENESIS")</f>
        <v>GOBP_BLOOD_VESSEL_ENDOTHELIAL_CELL_PROLIFERATION_INVOLVED_IN_SPROUTING_ANGIOGENESIS</v>
      </c>
      <c r="C780" s="4">
        <v>23</v>
      </c>
      <c r="D780" s="3">
        <v>1.7831178999999999</v>
      </c>
      <c r="E780" s="1">
        <v>1.6949152E-3</v>
      </c>
      <c r="F780" s="2">
        <v>8.7211709999999998E-3</v>
      </c>
    </row>
    <row r="781" spans="1:6" x14ac:dyDescent="0.25">
      <c r="A781" t="s">
        <v>6</v>
      </c>
      <c r="B781" s="5" t="str">
        <f>HYPERLINK("http://www.broadinstitute.org/gsea/msigdb/cards/GOBP_CELL_CELL_ADHESION_MEDIATED_BY_INTEGRIN.html","GOBP_CELL_CELL_ADHESION_MEDIATED_BY_INTEGRIN")</f>
        <v>GOBP_CELL_CELL_ADHESION_MEDIATED_BY_INTEGRIN</v>
      </c>
      <c r="C781" s="4">
        <v>18</v>
      </c>
      <c r="D781" s="3">
        <v>1.7828493999999999</v>
      </c>
      <c r="E781" s="1">
        <v>1.7301039000000001E-3</v>
      </c>
      <c r="F781" s="2">
        <v>8.7321610000000004E-3</v>
      </c>
    </row>
    <row r="782" spans="1:6" x14ac:dyDescent="0.25">
      <c r="A782" t="s">
        <v>6</v>
      </c>
      <c r="B782" s="5" t="str">
        <f>HYPERLINK("http://www.broadinstitute.org/gsea/msigdb/cards/GOBP_REGULATION_OF_ACTIVATED_T_CELL_PROLIFERATION.html","GOBP_REGULATION_OF_ACTIVATED_T_CELL_PROLIFERATION")</f>
        <v>GOBP_REGULATION_OF_ACTIVATED_T_CELL_PROLIFERATION</v>
      </c>
      <c r="C782" s="4">
        <v>43</v>
      </c>
      <c r="D782" s="3">
        <v>1.7818407000000001</v>
      </c>
      <c r="E782" s="1">
        <v>3.4722222000000001E-3</v>
      </c>
      <c r="F782" s="2">
        <v>8.8209989999999995E-3</v>
      </c>
    </row>
    <row r="783" spans="1:6" x14ac:dyDescent="0.25">
      <c r="A783" t="s">
        <v>11</v>
      </c>
      <c r="B783" s="5" t="str">
        <f>HYPERLINK("http://www.broadinstitute.org/gsea/msigdb/cards/WP_FAS_PATHWAY_AND_STRESS_INDUCTION_OF_HSP_REGULATION.html","WP_FAS_PATHWAY_AND_STRESS_INDUCTION_OF_HSP_REGULATION")</f>
        <v>WP_FAS_PATHWAY_AND_STRESS_INDUCTION_OF_HSP_REGULATION</v>
      </c>
      <c r="C783" s="4">
        <v>36</v>
      </c>
      <c r="D783" s="3">
        <v>1.7807132999999999</v>
      </c>
      <c r="E783" s="1">
        <v>1.6501650999999999E-3</v>
      </c>
      <c r="F783" s="2">
        <v>8.9110014999999997E-3</v>
      </c>
    </row>
    <row r="784" spans="1:6" x14ac:dyDescent="0.25">
      <c r="A784" t="s">
        <v>6</v>
      </c>
      <c r="B784" s="5" t="str">
        <f>HYPERLINK("http://www.broadinstitute.org/gsea/msigdb/cards/GOBP_REGULATION_OF_ACUTE_INFLAMMATORY_RESPONSE_TO_ANTIGENIC_STIMULUS.html","GOBP_REGULATION_OF_ACUTE_INFLAMMATORY_RESPONSE_TO_ANTIGENIC_STIMULUS")</f>
        <v>GOBP_REGULATION_OF_ACUTE_INFLAMMATORY_RESPONSE_TO_ANTIGENIC_STIMULUS</v>
      </c>
      <c r="C784" s="4">
        <v>33</v>
      </c>
      <c r="D784" s="3">
        <v>1.7803605</v>
      </c>
      <c r="E784" s="1">
        <v>0</v>
      </c>
      <c r="F784" s="2">
        <v>8.9481149999999995E-3</v>
      </c>
    </row>
    <row r="785" spans="1:6" x14ac:dyDescent="0.25">
      <c r="A785" t="s">
        <v>10</v>
      </c>
      <c r="B785" s="5" t="str">
        <f>HYPERLINK("http://www.broadinstitute.org/gsea/msigdb/cards/REACTOME_TRANS_GOLGI_NETWORK_VESICLE_BUDDING.html","REACTOME_TRANS_GOLGI_NETWORK_VESICLE_BUDDING")</f>
        <v>REACTOME_TRANS_GOLGI_NETWORK_VESICLE_BUDDING</v>
      </c>
      <c r="C785" s="4">
        <v>70</v>
      </c>
      <c r="D785" s="3">
        <v>1.7803017999999999</v>
      </c>
      <c r="E785" s="1">
        <v>0</v>
      </c>
      <c r="F785" s="2">
        <v>8.9422359999999992E-3</v>
      </c>
    </row>
    <row r="786" spans="1:6" x14ac:dyDescent="0.25">
      <c r="A786" t="s">
        <v>8</v>
      </c>
      <c r="B786" s="5" t="str">
        <f>HYPERLINK("http://www.broadinstitute.org/gsea/msigdb/cards/GOMF_INSULIN_RECEPTOR_BINDING.html","GOMF_INSULIN_RECEPTOR_BINDING")</f>
        <v>GOMF_INSULIN_RECEPTOR_BINDING</v>
      </c>
      <c r="C786" s="4">
        <v>25</v>
      </c>
      <c r="D786" s="3">
        <v>1.7800906000000001</v>
      </c>
      <c r="E786" s="1">
        <v>1.6891892000000001E-3</v>
      </c>
      <c r="F786" s="2">
        <v>8.9446360000000006E-3</v>
      </c>
    </row>
    <row r="787" spans="1:6" x14ac:dyDescent="0.25">
      <c r="A787" t="s">
        <v>8</v>
      </c>
      <c r="B787" s="5" t="str">
        <f>HYPERLINK("http://www.broadinstitute.org/gsea/msigdb/cards/GOMF_EXTRACELLULAR_MATRIX_STRUCTURAL_CONSTITUENT_CONFERRING_TENSILE_STRENGTH.html","GOMF_EXTRACELLULAR_MATRIX_STRUCTURAL_CONSTITUENT_CONFERRING_TENSILE_STRENGTH")</f>
        <v>GOMF_EXTRACELLULAR_MATRIX_STRUCTURAL_CONSTITUENT_CONFERRING_TENSILE_STRENGTH</v>
      </c>
      <c r="C787" s="4">
        <v>44</v>
      </c>
      <c r="D787" s="3">
        <v>1.7789705</v>
      </c>
      <c r="E787" s="1">
        <v>0</v>
      </c>
      <c r="F787" s="2">
        <v>9.0478889999999999E-3</v>
      </c>
    </row>
    <row r="788" spans="1:6" x14ac:dyDescent="0.25">
      <c r="A788" t="s">
        <v>6</v>
      </c>
      <c r="B788" s="5" t="str">
        <f>HYPERLINK("http://www.broadinstitute.org/gsea/msigdb/cards/GOBP_REGULATION_OF_PHOSPHATIDYLINOSITOL_3_KINASE_PROTEIN_KINASE_B_SIGNAL_TRANSDUCTION.html","GOBP_REGULATION_OF_PHOSPHATIDYLINOSITOL_3_KINASE_PROTEIN_KINASE_B_SIGNAL_TRANSDUCTION")</f>
        <v>GOBP_REGULATION_OF_PHOSPHATIDYLINOSITOL_3_KINASE_PROTEIN_KINASE_B_SIGNAL_TRANSDUCTION</v>
      </c>
      <c r="C788" s="4">
        <v>248</v>
      </c>
      <c r="D788" s="3">
        <v>1.7775904</v>
      </c>
      <c r="E788" s="1">
        <v>0</v>
      </c>
      <c r="F788" s="2">
        <v>9.1742660000000004E-3</v>
      </c>
    </row>
    <row r="789" spans="1:6" x14ac:dyDescent="0.25">
      <c r="A789" t="s">
        <v>10</v>
      </c>
      <c r="B789" s="5" t="str">
        <f>HYPERLINK("http://www.broadinstitute.org/gsea/msigdb/cards/REACTOME_RAC3_GTPASE_CYCLE.html","REACTOME_RAC3_GTPASE_CYCLE")</f>
        <v>REACTOME_RAC3_GTPASE_CYCLE</v>
      </c>
      <c r="C789" s="4">
        <v>90</v>
      </c>
      <c r="D789" s="3">
        <v>1.7767161</v>
      </c>
      <c r="E789" s="1">
        <v>0</v>
      </c>
      <c r="F789" s="2">
        <v>9.2604149999999993E-3</v>
      </c>
    </row>
    <row r="790" spans="1:6" x14ac:dyDescent="0.25">
      <c r="A790" t="s">
        <v>6</v>
      </c>
      <c r="B790" s="5" t="str">
        <f>HYPERLINK("http://www.broadinstitute.org/gsea/msigdb/cards/GOBP_CD8_POSITIVE_ALPHA_BETA_T_CELL_ACTIVATION.html","GOBP_CD8_POSITIVE_ALPHA_BETA_T_CELL_ACTIVATION")</f>
        <v>GOBP_CD8_POSITIVE_ALPHA_BETA_T_CELL_ACTIVATION</v>
      </c>
      <c r="C790" s="4">
        <v>46</v>
      </c>
      <c r="D790" s="3">
        <v>1.776654</v>
      </c>
      <c r="E790" s="1">
        <v>3.2051281999999999E-3</v>
      </c>
      <c r="F790" s="2">
        <v>9.2541710000000003E-3</v>
      </c>
    </row>
    <row r="791" spans="1:6" x14ac:dyDescent="0.25">
      <c r="A791" t="s">
        <v>6</v>
      </c>
      <c r="B791" s="5" t="str">
        <f>HYPERLINK("http://www.broadinstitute.org/gsea/msigdb/cards/GOBP_POSITIVE_REGULATION_OF_PATTERN_RECOGNITION_RECEPTOR_SIGNALING_PATHWAY.html","GOBP_POSITIVE_REGULATION_OF_PATTERN_RECOGNITION_RECEPTOR_SIGNALING_PATHWAY")</f>
        <v>GOBP_POSITIVE_REGULATION_OF_PATTERN_RECOGNITION_RECEPTOR_SIGNALING_PATHWAY</v>
      </c>
      <c r="C791" s="4">
        <v>66</v>
      </c>
      <c r="D791" s="3">
        <v>1.7764238999999999</v>
      </c>
      <c r="E791" s="1">
        <v>1.6025640999999999E-3</v>
      </c>
      <c r="F791" s="2">
        <v>9.263014E-3</v>
      </c>
    </row>
    <row r="792" spans="1:6" x14ac:dyDescent="0.25">
      <c r="A792" t="s">
        <v>6</v>
      </c>
      <c r="B792" s="5" t="str">
        <f>HYPERLINK("http://www.broadinstitute.org/gsea/msigdb/cards/GOBP_POSITIVE_REGULATION_OF_SMOOTH_MUSCLE_CELL_PROLIFERATION.html","GOBP_POSITIVE_REGULATION_OF_SMOOTH_MUSCLE_CELL_PROLIFERATION")</f>
        <v>GOBP_POSITIVE_REGULATION_OF_SMOOTH_MUSCLE_CELL_PROLIFERATION</v>
      </c>
      <c r="C792" s="4">
        <v>115</v>
      </c>
      <c r="D792" s="3">
        <v>1.7754474</v>
      </c>
      <c r="E792" s="1">
        <v>0</v>
      </c>
      <c r="F792" s="2">
        <v>9.333572E-3</v>
      </c>
    </row>
    <row r="793" spans="1:6" x14ac:dyDescent="0.25">
      <c r="A793" t="s">
        <v>10</v>
      </c>
      <c r="B793" s="5" t="str">
        <f>HYPERLINK("http://www.broadinstitute.org/gsea/msigdb/cards/REACTOME_ACTIVATION_OF_MATRIX_METALLOPROTEINASES.html","REACTOME_ACTIVATION_OF_MATRIX_METALLOPROTEINASES")</f>
        <v>REACTOME_ACTIVATION_OF_MATRIX_METALLOPROTEINASES</v>
      </c>
      <c r="C793" s="4">
        <v>29</v>
      </c>
      <c r="D793" s="3">
        <v>1.7753589999999999</v>
      </c>
      <c r="E793" s="1">
        <v>1.7152659E-3</v>
      </c>
      <c r="F793" s="2">
        <v>9.3340599999999999E-3</v>
      </c>
    </row>
    <row r="794" spans="1:6" x14ac:dyDescent="0.25">
      <c r="A794" t="s">
        <v>6</v>
      </c>
      <c r="B794" s="5" t="str">
        <f>HYPERLINK("http://www.broadinstitute.org/gsea/msigdb/cards/GOBP_POSITIVE_REGULATION_OF_ENDOTHELIAL_CELL_MIGRATION.html","GOBP_POSITIVE_REGULATION_OF_ENDOTHELIAL_CELL_MIGRATION")</f>
        <v>GOBP_POSITIVE_REGULATION_OF_ENDOTHELIAL_CELL_MIGRATION</v>
      </c>
      <c r="C794" s="4">
        <v>109</v>
      </c>
      <c r="D794" s="3">
        <v>1.7752621</v>
      </c>
      <c r="E794" s="1">
        <v>1.4903130000000001E-3</v>
      </c>
      <c r="F794" s="2">
        <v>9.3345830000000005E-3</v>
      </c>
    </row>
    <row r="795" spans="1:6" x14ac:dyDescent="0.25">
      <c r="A795" t="s">
        <v>8</v>
      </c>
      <c r="B795" s="5" t="str">
        <f>HYPERLINK("http://www.broadinstitute.org/gsea/msigdb/cards/GOMF_DEAMINASE_ACTIVITY.html","GOMF_DEAMINASE_ACTIVITY")</f>
        <v>GOMF_DEAMINASE_ACTIVITY</v>
      </c>
      <c r="C795" s="4">
        <v>27</v>
      </c>
      <c r="D795" s="3">
        <v>1.7752014</v>
      </c>
      <c r="E795" s="1">
        <v>3.3898305000000001E-3</v>
      </c>
      <c r="F795" s="2">
        <v>9.3268445000000005E-3</v>
      </c>
    </row>
    <row r="796" spans="1:6" x14ac:dyDescent="0.25">
      <c r="A796" t="s">
        <v>6</v>
      </c>
      <c r="B796" s="5" t="str">
        <f>HYPERLINK("http://www.broadinstitute.org/gsea/msigdb/cards/GOBP_REGULATION_OF_EXTRACELLULAR_MATRIX_ORGANIZATION.html","GOBP_REGULATION_OF_EXTRACELLULAR_MATRIX_ORGANIZATION")</f>
        <v>GOBP_REGULATION_OF_EXTRACELLULAR_MATRIX_ORGANIZATION</v>
      </c>
      <c r="C796" s="4">
        <v>62</v>
      </c>
      <c r="D796" s="3">
        <v>1.7746054</v>
      </c>
      <c r="E796" s="1">
        <v>1.5797789000000001E-3</v>
      </c>
      <c r="F796" s="2">
        <v>9.3751340000000002E-3</v>
      </c>
    </row>
    <row r="797" spans="1:6" x14ac:dyDescent="0.25">
      <c r="A797" t="s">
        <v>6</v>
      </c>
      <c r="B797" s="5" t="str">
        <f>HYPERLINK("http://www.broadinstitute.org/gsea/msigdb/cards/GOBP_POSITIVE_REGULATION_OF_AMYLOID_PRECURSOR_PROTEIN_CATABOLIC_PROCESS.html","GOBP_POSITIVE_REGULATION_OF_AMYLOID_PRECURSOR_PROTEIN_CATABOLIC_PROCESS")</f>
        <v>GOBP_POSITIVE_REGULATION_OF_AMYLOID_PRECURSOR_PROTEIN_CATABOLIC_PROCESS</v>
      </c>
      <c r="C797" s="4">
        <v>26</v>
      </c>
      <c r="D797" s="3">
        <v>1.7743701000000001</v>
      </c>
      <c r="E797" s="1">
        <v>1.7035774999999999E-3</v>
      </c>
      <c r="F797" s="2">
        <v>9.3919450000000005E-3</v>
      </c>
    </row>
    <row r="798" spans="1:6" x14ac:dyDescent="0.25">
      <c r="A798" t="s">
        <v>6</v>
      </c>
      <c r="B798" s="5" t="str">
        <f>HYPERLINK("http://www.broadinstitute.org/gsea/msigdb/cards/GOBP_EPIDERMAL_GROWTH_FACTOR_RECEPTOR_SIGNALING_PATHWAY.html","GOBP_EPIDERMAL_GROWTH_FACTOR_RECEPTOR_SIGNALING_PATHWAY")</f>
        <v>GOBP_EPIDERMAL_GROWTH_FACTOR_RECEPTOR_SIGNALING_PATHWAY</v>
      </c>
      <c r="C798" s="4">
        <v>104</v>
      </c>
      <c r="D798" s="3">
        <v>1.7742659000000001</v>
      </c>
      <c r="E798" s="1">
        <v>0</v>
      </c>
      <c r="F798" s="2">
        <v>9.3856270000000006E-3</v>
      </c>
    </row>
    <row r="799" spans="1:6" x14ac:dyDescent="0.25">
      <c r="A799" t="s">
        <v>8</v>
      </c>
      <c r="B799" s="5" t="str">
        <f>HYPERLINK("http://www.broadinstitute.org/gsea/msigdb/cards/GOMF_PHOSPHOPROTEIN_BINDING.html","GOMF_PHOSPHOPROTEIN_BINDING")</f>
        <v>GOMF_PHOSPHOPROTEIN_BINDING</v>
      </c>
      <c r="C799" s="4">
        <v>112</v>
      </c>
      <c r="D799" s="3">
        <v>1.7742473000000001</v>
      </c>
      <c r="E799" s="1">
        <v>0</v>
      </c>
      <c r="F799" s="2">
        <v>9.3765419999999999E-3</v>
      </c>
    </row>
    <row r="800" spans="1:6" x14ac:dyDescent="0.25">
      <c r="A800" t="s">
        <v>6</v>
      </c>
      <c r="B800" s="5" t="str">
        <f>HYPERLINK("http://www.broadinstitute.org/gsea/msigdb/cards/GOBP_VACUOLE_ORGANIZATION.html","GOBP_VACUOLE_ORGANIZATION")</f>
        <v>GOBP_VACUOLE_ORGANIZATION</v>
      </c>
      <c r="C800" s="4">
        <v>219</v>
      </c>
      <c r="D800" s="3">
        <v>1.7742195000000001</v>
      </c>
      <c r="E800" s="1">
        <v>0</v>
      </c>
      <c r="F800" s="2">
        <v>9.3647780000000007E-3</v>
      </c>
    </row>
    <row r="801" spans="1:6" x14ac:dyDescent="0.25">
      <c r="A801" t="s">
        <v>7</v>
      </c>
      <c r="B801" s="5" t="str">
        <f>HYPERLINK("http://www.broadinstitute.org/gsea/msigdb/cards/GOCC_RUFFLE.html","GOCC_RUFFLE")</f>
        <v>GOCC_RUFFLE</v>
      </c>
      <c r="C801" s="4">
        <v>155</v>
      </c>
      <c r="D801" s="3">
        <v>1.7736098</v>
      </c>
      <c r="E801" s="1">
        <v>0</v>
      </c>
      <c r="F801" s="2">
        <v>9.4194229999999997E-3</v>
      </c>
    </row>
    <row r="802" spans="1:6" x14ac:dyDescent="0.25">
      <c r="A802" t="s">
        <v>6</v>
      </c>
      <c r="B802" s="5" t="str">
        <f>HYPERLINK("http://www.broadinstitute.org/gsea/msigdb/cards/GOBP_REGULATION_OF_ENDOPEPTIDASE_ACTIVITY.html","GOBP_REGULATION_OF_ENDOPEPTIDASE_ACTIVITY")</f>
        <v>GOBP_REGULATION_OF_ENDOPEPTIDASE_ACTIVITY</v>
      </c>
      <c r="C802" s="4">
        <v>341</v>
      </c>
      <c r="D802" s="3">
        <v>1.7735867999999999</v>
      </c>
      <c r="E802" s="1">
        <v>0</v>
      </c>
      <c r="F802" s="2">
        <v>9.4090110000000001E-3</v>
      </c>
    </row>
    <row r="803" spans="1:6" x14ac:dyDescent="0.25">
      <c r="A803" t="s">
        <v>6</v>
      </c>
      <c r="B803" s="5" t="str">
        <f>HYPERLINK("http://www.broadinstitute.org/gsea/msigdb/cards/GOBP_RESPONSE_TO_MURAMYL_DIPEPTIDE.html","GOBP_RESPONSE_TO_MURAMYL_DIPEPTIDE")</f>
        <v>GOBP_RESPONSE_TO_MURAMYL_DIPEPTIDE</v>
      </c>
      <c r="C803" s="4">
        <v>21</v>
      </c>
      <c r="D803" s="3">
        <v>1.7732406000000001</v>
      </c>
      <c r="E803" s="1">
        <v>3.3670033E-3</v>
      </c>
      <c r="F803" s="2">
        <v>9.4445380000000006E-3</v>
      </c>
    </row>
    <row r="804" spans="1:6" x14ac:dyDescent="0.25">
      <c r="A804" t="s">
        <v>10</v>
      </c>
      <c r="B804" s="5" t="str">
        <f>HYPERLINK("http://www.broadinstitute.org/gsea/msigdb/cards/REACTOME_GPER1_SIGNALING.html","REACTOME_GPER1_SIGNALING")</f>
        <v>REACTOME_GPER1_SIGNALING</v>
      </c>
      <c r="C804" s="4">
        <v>27</v>
      </c>
      <c r="D804" s="3">
        <v>1.7730452999999999</v>
      </c>
      <c r="E804" s="1">
        <v>3.4071549999999998E-3</v>
      </c>
      <c r="F804" s="2">
        <v>9.4543660000000005E-3</v>
      </c>
    </row>
    <row r="805" spans="1:6" x14ac:dyDescent="0.25">
      <c r="A805" t="s">
        <v>6</v>
      </c>
      <c r="B805" s="5" t="str">
        <f>HYPERLINK("http://www.broadinstitute.org/gsea/msigdb/cards/GOBP_POSITIVE_REGULATION_OF_SMOOTH_MUSCLE_CELL_MIGRATION.html","GOBP_POSITIVE_REGULATION_OF_SMOOTH_MUSCLE_CELL_MIGRATION")</f>
        <v>GOBP_POSITIVE_REGULATION_OF_SMOOTH_MUSCLE_CELL_MIGRATION</v>
      </c>
      <c r="C805" s="4">
        <v>67</v>
      </c>
      <c r="D805" s="3">
        <v>1.772853</v>
      </c>
      <c r="E805" s="1">
        <v>3.0816642000000001E-3</v>
      </c>
      <c r="F805" s="2">
        <v>9.4588929999999995E-3</v>
      </c>
    </row>
    <row r="806" spans="1:6" x14ac:dyDescent="0.25">
      <c r="A806" t="s">
        <v>6</v>
      </c>
      <c r="B806" s="5" t="str">
        <f>HYPERLINK("http://www.broadinstitute.org/gsea/msigdb/cards/GOBP_CELLULAR_SENESCENCE.html","GOBP_CELLULAR_SENESCENCE")</f>
        <v>GOBP_CELLULAR_SENESCENCE</v>
      </c>
      <c r="C806" s="4">
        <v>87</v>
      </c>
      <c r="D806" s="3">
        <v>1.7724158000000001</v>
      </c>
      <c r="E806" s="1">
        <v>0</v>
      </c>
      <c r="F806" s="2">
        <v>9.4889480000000005E-3</v>
      </c>
    </row>
    <row r="807" spans="1:6" x14ac:dyDescent="0.25">
      <c r="A807" t="s">
        <v>6</v>
      </c>
      <c r="B807" s="5" t="str">
        <f>HYPERLINK("http://www.broadinstitute.org/gsea/msigdb/cards/GOBP_POSITIVE_REGULATION_OF_VASOCONSTRICTION.html","GOBP_POSITIVE_REGULATION_OF_VASOCONSTRICTION")</f>
        <v>GOBP_POSITIVE_REGULATION_OF_VASOCONSTRICTION</v>
      </c>
      <c r="C807" s="4">
        <v>53</v>
      </c>
      <c r="D807" s="3">
        <v>1.7724108999999999</v>
      </c>
      <c r="E807" s="1">
        <v>0</v>
      </c>
      <c r="F807" s="2">
        <v>9.4771449999999993E-3</v>
      </c>
    </row>
    <row r="808" spans="1:6" x14ac:dyDescent="0.25">
      <c r="A808" t="s">
        <v>6</v>
      </c>
      <c r="B808" s="5" t="str">
        <f>HYPERLINK("http://www.broadinstitute.org/gsea/msigdb/cards/GOBP_REGULATION_OF_MONOOXYGENASE_ACTIVITY.html","GOBP_REGULATION_OF_MONOOXYGENASE_ACTIVITY")</f>
        <v>GOBP_REGULATION_OF_MONOOXYGENASE_ACTIVITY</v>
      </c>
      <c r="C808" s="4">
        <v>45</v>
      </c>
      <c r="D808" s="3">
        <v>1.7702180000000001</v>
      </c>
      <c r="E808" s="1">
        <v>0</v>
      </c>
      <c r="F808" s="2">
        <v>9.7156199999999995E-3</v>
      </c>
    </row>
    <row r="809" spans="1:6" x14ac:dyDescent="0.25">
      <c r="A809" t="s">
        <v>5</v>
      </c>
      <c r="B809" s="5" t="str">
        <f>HYPERLINK("http://www.broadinstitute.org/gsea/msigdb/cards/BIOCARTA_NO2IL12_PATHWAY.html","BIOCARTA_NO2IL12_PATHWAY")</f>
        <v>BIOCARTA_NO2IL12_PATHWAY</v>
      </c>
      <c r="C809" s="4">
        <v>15</v>
      </c>
      <c r="D809" s="3">
        <v>1.7699537000000001</v>
      </c>
      <c r="E809" s="1">
        <v>5.0847456000000001E-3</v>
      </c>
      <c r="F809" s="2">
        <v>9.7317240000000006E-3</v>
      </c>
    </row>
    <row r="810" spans="1:6" x14ac:dyDescent="0.25">
      <c r="A810" t="s">
        <v>10</v>
      </c>
      <c r="B810" s="5" t="str">
        <f>HYPERLINK("http://www.broadinstitute.org/gsea/msigdb/cards/REACTOME_CELL_CELL_COMMUNICATION.html","REACTOME_CELL_CELL_COMMUNICATION")</f>
        <v>REACTOME_CELL_CELL_COMMUNICATION</v>
      </c>
      <c r="C810" s="4">
        <v>95</v>
      </c>
      <c r="D810" s="3">
        <v>1.7695335000000001</v>
      </c>
      <c r="E810" s="1">
        <v>0</v>
      </c>
      <c r="F810" s="2">
        <v>9.7600729999999993E-3</v>
      </c>
    </row>
    <row r="811" spans="1:6" x14ac:dyDescent="0.25">
      <c r="A811" t="s">
        <v>6</v>
      </c>
      <c r="B811" s="5" t="str">
        <f>HYPERLINK("http://www.broadinstitute.org/gsea/msigdb/cards/GOBP_CELLULAR_RESPONSE_TO_PEPTIDE.html","GOBP_CELLULAR_RESPONSE_TO_PEPTIDE")</f>
        <v>GOBP_CELLULAR_RESPONSE_TO_PEPTIDE</v>
      </c>
      <c r="C811" s="4">
        <v>333</v>
      </c>
      <c r="D811" s="3">
        <v>1.7695042000000001</v>
      </c>
      <c r="E811" s="1">
        <v>0</v>
      </c>
      <c r="F811" s="2">
        <v>9.7520130000000003E-3</v>
      </c>
    </row>
    <row r="812" spans="1:6" x14ac:dyDescent="0.25">
      <c r="A812" t="s">
        <v>6</v>
      </c>
      <c r="B812" s="5" t="str">
        <f>HYPERLINK("http://www.broadinstitute.org/gsea/msigdb/cards/GOBP_ENDOTHELIAL_CELL_APOPTOTIC_PROCESS.html","GOBP_ENDOTHELIAL_CELL_APOPTOTIC_PROCESS")</f>
        <v>GOBP_ENDOTHELIAL_CELL_APOPTOTIC_PROCESS</v>
      </c>
      <c r="C812" s="4">
        <v>62</v>
      </c>
      <c r="D812" s="3">
        <v>1.769296</v>
      </c>
      <c r="E812" s="1">
        <v>0</v>
      </c>
      <c r="F812" s="2">
        <v>9.7546760000000003E-3</v>
      </c>
    </row>
    <row r="813" spans="1:6" x14ac:dyDescent="0.25">
      <c r="A813" t="s">
        <v>10</v>
      </c>
      <c r="B813" s="5" t="str">
        <f>HYPERLINK("http://www.broadinstitute.org/gsea/msigdb/cards/REACTOME_CYTOSOLIC_SENSORS_OF_PATHOGEN_ASSOCIATED_DNA.html","REACTOME_CYTOSOLIC_SENSORS_OF_PATHOGEN_ASSOCIATED_DNA")</f>
        <v>REACTOME_CYTOSOLIC_SENSORS_OF_PATHOGEN_ASSOCIATED_DNA</v>
      </c>
      <c r="C813" s="4">
        <v>31</v>
      </c>
      <c r="D813" s="3">
        <v>1.7688233</v>
      </c>
      <c r="E813" s="1">
        <v>3.3613445999999998E-3</v>
      </c>
      <c r="F813" s="2">
        <v>9.8040920000000004E-3</v>
      </c>
    </row>
    <row r="814" spans="1:6" x14ac:dyDescent="0.25">
      <c r="A814" t="s">
        <v>10</v>
      </c>
      <c r="B814" s="5" t="str">
        <f>HYPERLINK("http://www.broadinstitute.org/gsea/msigdb/cards/REACTOME_G_PROTEIN_BETA_GAMMA_SIGNALLING.html","REACTOME_G_PROTEIN_BETA_GAMMA_SIGNALLING")</f>
        <v>REACTOME_G_PROTEIN_BETA_GAMMA_SIGNALLING</v>
      </c>
      <c r="C814" s="4">
        <v>31</v>
      </c>
      <c r="D814" s="3">
        <v>1.7687801000000001</v>
      </c>
      <c r="E814" s="1">
        <v>3.327787E-3</v>
      </c>
      <c r="F814" s="2">
        <v>9.7920030000000005E-3</v>
      </c>
    </row>
    <row r="815" spans="1:6" x14ac:dyDescent="0.25">
      <c r="A815" t="s">
        <v>6</v>
      </c>
      <c r="B815" s="5" t="str">
        <f>HYPERLINK("http://www.broadinstitute.org/gsea/msigdb/cards/GOBP_AMINOGLYCAN_METABOLIC_PROCESS.html","GOBP_AMINOGLYCAN_METABOLIC_PROCESS")</f>
        <v>GOBP_AMINOGLYCAN_METABOLIC_PROCESS</v>
      </c>
      <c r="C815" s="4">
        <v>112</v>
      </c>
      <c r="D815" s="3">
        <v>1.7676864999999999</v>
      </c>
      <c r="E815" s="1">
        <v>0</v>
      </c>
      <c r="F815" s="2">
        <v>9.9039869999999995E-3</v>
      </c>
    </row>
    <row r="816" spans="1:6" x14ac:dyDescent="0.25">
      <c r="A816" t="s">
        <v>8</v>
      </c>
      <c r="B816" s="5" t="str">
        <f>HYPERLINK("http://www.broadinstitute.org/gsea/msigdb/cards/GOMF_CHEMOKINE_BINDING.html","GOMF_CHEMOKINE_BINDING")</f>
        <v>GOMF_CHEMOKINE_BINDING</v>
      </c>
      <c r="C816" s="4">
        <v>33</v>
      </c>
      <c r="D816" s="3">
        <v>1.7674840999999999</v>
      </c>
      <c r="E816" s="1">
        <v>3.3955857999999998E-3</v>
      </c>
      <c r="F816" s="2">
        <v>9.9090129999999995E-3</v>
      </c>
    </row>
    <row r="817" spans="1:6" x14ac:dyDescent="0.25">
      <c r="A817" t="s">
        <v>6</v>
      </c>
      <c r="B817" s="5" t="str">
        <f>HYPERLINK("http://www.broadinstitute.org/gsea/msigdb/cards/GOBP_VASODILATION.html","GOBP_VASODILATION")</f>
        <v>GOBP_VASODILATION</v>
      </c>
      <c r="C817" s="4">
        <v>63</v>
      </c>
      <c r="D817" s="3">
        <v>1.7672178000000001</v>
      </c>
      <c r="E817" s="1">
        <v>1.6286644000000001E-3</v>
      </c>
      <c r="F817" s="2">
        <v>9.9300989999999995E-3</v>
      </c>
    </row>
    <row r="818" spans="1:6" x14ac:dyDescent="0.25">
      <c r="A818" t="s">
        <v>6</v>
      </c>
      <c r="B818" s="5" t="str">
        <f>HYPERLINK("http://www.broadinstitute.org/gsea/msigdb/cards/GOBP_LIPID_EXPORT_FROM_CELL.html","GOBP_LIPID_EXPORT_FROM_CELL")</f>
        <v>GOBP_LIPID_EXPORT_FROM_CELL</v>
      </c>
      <c r="C818" s="4">
        <v>56</v>
      </c>
      <c r="D818" s="3">
        <v>1.7671095000000001</v>
      </c>
      <c r="E818" s="1">
        <v>0</v>
      </c>
      <c r="F818" s="2">
        <v>9.9298359999999992E-3</v>
      </c>
    </row>
    <row r="819" spans="1:6" x14ac:dyDescent="0.25">
      <c r="A819" t="s">
        <v>8</v>
      </c>
      <c r="B819" s="5" t="str">
        <f>HYPERLINK("http://www.broadinstitute.org/gsea/msigdb/cards/GOMF_LIPASE_ACTIVATOR_ACTIVITY.html","GOMF_LIPASE_ACTIVATOR_ACTIVITY")</f>
        <v>GOMF_LIPASE_ACTIVATOR_ACTIVITY</v>
      </c>
      <c r="C819" s="4">
        <v>19</v>
      </c>
      <c r="D819" s="3">
        <v>1.7658807000000001</v>
      </c>
      <c r="E819" s="1">
        <v>7.1174376999999997E-3</v>
      </c>
      <c r="F819" s="2">
        <v>1.0051914E-2</v>
      </c>
    </row>
    <row r="820" spans="1:6" x14ac:dyDescent="0.25">
      <c r="A820" t="s">
        <v>6</v>
      </c>
      <c r="B820" s="5" t="str">
        <f>HYPERLINK("http://www.broadinstitute.org/gsea/msigdb/cards/GOBP_ANTIGEN_RECEPTOR_MEDIATED_SIGNALING_PATHWAY.html","GOBP_ANTIGEN_RECEPTOR_MEDIATED_SIGNALING_PATHWAY")</f>
        <v>GOBP_ANTIGEN_RECEPTOR_MEDIATED_SIGNALING_PATHWAY</v>
      </c>
      <c r="C820" s="4">
        <v>177</v>
      </c>
      <c r="D820" s="3">
        <v>1.765512</v>
      </c>
      <c r="E820" s="1">
        <v>0</v>
      </c>
      <c r="F820" s="2">
        <v>1.009266E-2</v>
      </c>
    </row>
    <row r="821" spans="1:6" x14ac:dyDescent="0.25">
      <c r="A821" t="s">
        <v>6</v>
      </c>
      <c r="B821" s="5" t="str">
        <f>HYPERLINK("http://www.broadinstitute.org/gsea/msigdb/cards/GOBP_ANTIVIRAL_INNATE_IMMUNE_RESPONSE.html","GOBP_ANTIVIRAL_INNATE_IMMUNE_RESPONSE")</f>
        <v>GOBP_ANTIVIRAL_INNATE_IMMUNE_RESPONSE</v>
      </c>
      <c r="C821" s="4">
        <v>51</v>
      </c>
      <c r="D821" s="3">
        <v>1.7652642999999999</v>
      </c>
      <c r="E821" s="1">
        <v>3.2626427999999999E-3</v>
      </c>
      <c r="F821" s="2">
        <v>1.0117486E-2</v>
      </c>
    </row>
    <row r="822" spans="1:6" x14ac:dyDescent="0.25">
      <c r="A822" t="s">
        <v>6</v>
      </c>
      <c r="B822" s="5" t="str">
        <f>HYPERLINK("http://www.broadinstitute.org/gsea/msigdb/cards/GOBP_PODOSOME_ASSEMBLY.html","GOBP_PODOSOME_ASSEMBLY")</f>
        <v>GOBP_PODOSOME_ASSEMBLY</v>
      </c>
      <c r="C822" s="4">
        <v>23</v>
      </c>
      <c r="D822" s="3">
        <v>1.765115</v>
      </c>
      <c r="E822" s="1">
        <v>0</v>
      </c>
      <c r="F822" s="2">
        <v>1.0120952000000001E-2</v>
      </c>
    </row>
    <row r="823" spans="1:6" x14ac:dyDescent="0.25">
      <c r="A823" t="s">
        <v>6</v>
      </c>
      <c r="B823" s="5" t="str">
        <f>HYPERLINK("http://www.broadinstitute.org/gsea/msigdb/cards/GOBP_RESPONSE_TO_HYDROGEN_PEROXIDE.html","GOBP_RESPONSE_TO_HYDROGEN_PEROXIDE")</f>
        <v>GOBP_RESPONSE_TO_HYDROGEN_PEROXIDE</v>
      </c>
      <c r="C823" s="4">
        <v>91</v>
      </c>
      <c r="D823" s="3">
        <v>1.7650920999999999</v>
      </c>
      <c r="E823" s="1">
        <v>0</v>
      </c>
      <c r="F823" s="2">
        <v>1.0111277E-2</v>
      </c>
    </row>
    <row r="824" spans="1:6" x14ac:dyDescent="0.25">
      <c r="A824" t="s">
        <v>6</v>
      </c>
      <c r="B824" s="5" t="str">
        <f>HYPERLINK("http://www.broadinstitute.org/gsea/msigdb/cards/GOBP_REGULATION_OF_WOUND_HEALING.html","GOBP_REGULATION_OF_WOUND_HEALING")</f>
        <v>GOBP_REGULATION_OF_WOUND_HEALING</v>
      </c>
      <c r="C824" s="4">
        <v>124</v>
      </c>
      <c r="D824" s="3">
        <v>1.7643849</v>
      </c>
      <c r="E824" s="1">
        <v>0</v>
      </c>
      <c r="F824" s="2">
        <v>1.0172807000000001E-2</v>
      </c>
    </row>
    <row r="825" spans="1:6" x14ac:dyDescent="0.25">
      <c r="A825" t="s">
        <v>6</v>
      </c>
      <c r="B825" s="5" t="str">
        <f>HYPERLINK("http://www.broadinstitute.org/gsea/msigdb/cards/GOBP_SECOND_MESSENGER_MEDIATED_SIGNALING.html","GOBP_SECOND_MESSENGER_MEDIATED_SIGNALING")</f>
        <v>GOBP_SECOND_MESSENGER_MEDIATED_SIGNALING</v>
      </c>
      <c r="C825" s="4">
        <v>304</v>
      </c>
      <c r="D825" s="3">
        <v>1.7643361</v>
      </c>
      <c r="E825" s="1">
        <v>0</v>
      </c>
      <c r="F825" s="2">
        <v>1.0161740000000001E-2</v>
      </c>
    </row>
    <row r="826" spans="1:6" x14ac:dyDescent="0.25">
      <c r="A826" t="s">
        <v>10</v>
      </c>
      <c r="B826" s="5" t="str">
        <f>HYPERLINK("http://www.broadinstitute.org/gsea/msigdb/cards/REACTOME_PLATELET_SENSITIZATION_BY_LDL.html","REACTOME_PLATELET_SENSITIZATION_BY_LDL")</f>
        <v>REACTOME_PLATELET_SENSITIZATION_BY_LDL</v>
      </c>
      <c r="C826" s="4">
        <v>17</v>
      </c>
      <c r="D826" s="3">
        <v>1.7627162999999999</v>
      </c>
      <c r="E826" s="1">
        <v>3.5335689999999999E-3</v>
      </c>
      <c r="F826" s="2">
        <v>1.0335977999999999E-2</v>
      </c>
    </row>
    <row r="827" spans="1:6" x14ac:dyDescent="0.25">
      <c r="A827" t="s">
        <v>6</v>
      </c>
      <c r="B827" s="5" t="str">
        <f>HYPERLINK("http://www.broadinstitute.org/gsea/msigdb/cards/GOBP_GOLGI_ORGANIZATION.html","GOBP_GOLGI_ORGANIZATION")</f>
        <v>GOBP_GOLGI_ORGANIZATION</v>
      </c>
      <c r="C827" s="4">
        <v>135</v>
      </c>
      <c r="D827" s="3">
        <v>1.7625337000000001</v>
      </c>
      <c r="E827" s="1">
        <v>0</v>
      </c>
      <c r="F827" s="2">
        <v>1.0350971E-2</v>
      </c>
    </row>
    <row r="828" spans="1:6" x14ac:dyDescent="0.25">
      <c r="A828" t="s">
        <v>10</v>
      </c>
      <c r="B828" s="5" t="str">
        <f>HYPERLINK("http://www.broadinstitute.org/gsea/msigdb/cards/REACTOME_NICOTINAMIDE_SALVAGING.html","REACTOME_NICOTINAMIDE_SALVAGING")</f>
        <v>REACTOME_NICOTINAMIDE_SALVAGING</v>
      </c>
      <c r="C828" s="4">
        <v>18</v>
      </c>
      <c r="D828" s="3">
        <v>1.7624055999999999</v>
      </c>
      <c r="E828" s="1">
        <v>1.6750419E-3</v>
      </c>
      <c r="F828" s="2">
        <v>1.0351567000000001E-2</v>
      </c>
    </row>
    <row r="829" spans="1:6" x14ac:dyDescent="0.25">
      <c r="A829" t="s">
        <v>6</v>
      </c>
      <c r="B829" s="5" t="str">
        <f>HYPERLINK("http://www.broadinstitute.org/gsea/msigdb/cards/GOBP_POSITIVE_REGULATION_OF_B_CELL_DIFFERENTIATION.html","GOBP_POSITIVE_REGULATION_OF_B_CELL_DIFFERENTIATION")</f>
        <v>GOBP_POSITIVE_REGULATION_OF_B_CELL_DIFFERENTIATION</v>
      </c>
      <c r="C829" s="4">
        <v>19</v>
      </c>
      <c r="D829" s="3">
        <v>1.7621925000000001</v>
      </c>
      <c r="E829" s="1">
        <v>8.7565679999999993E-3</v>
      </c>
      <c r="F829" s="2">
        <v>1.0369115999999999E-2</v>
      </c>
    </row>
    <row r="830" spans="1:6" x14ac:dyDescent="0.25">
      <c r="A830" t="s">
        <v>6</v>
      </c>
      <c r="B830" s="5" t="str">
        <f>HYPERLINK("http://www.broadinstitute.org/gsea/msigdb/cards/GOBP_LYTIC_VACUOLE_ORGANIZATION.html","GOBP_LYTIC_VACUOLE_ORGANIZATION")</f>
        <v>GOBP_LYTIC_VACUOLE_ORGANIZATION</v>
      </c>
      <c r="C830" s="4">
        <v>99</v>
      </c>
      <c r="D830" s="3">
        <v>1.7618129</v>
      </c>
      <c r="E830" s="1">
        <v>0</v>
      </c>
      <c r="F830" s="2">
        <v>1.0402402999999999E-2</v>
      </c>
    </row>
    <row r="831" spans="1:6" x14ac:dyDescent="0.25">
      <c r="A831" t="s">
        <v>8</v>
      </c>
      <c r="B831" s="5" t="str">
        <f>HYPERLINK("http://www.broadinstitute.org/gsea/msigdb/cards/GOMF_NUCLEOSIDE_TRIPHOSPHATASE_REGULATOR_ACTIVITY.html","GOMF_NUCLEOSIDE_TRIPHOSPHATASE_REGULATOR_ACTIVITY")</f>
        <v>GOMF_NUCLEOSIDE_TRIPHOSPHATASE_REGULATOR_ACTIVITY</v>
      </c>
      <c r="C831" s="4">
        <v>426</v>
      </c>
      <c r="D831" s="3">
        <v>1.7615601000000001</v>
      </c>
      <c r="E831" s="1">
        <v>0</v>
      </c>
      <c r="F831" s="2">
        <v>1.0413369E-2</v>
      </c>
    </row>
    <row r="832" spans="1:6" x14ac:dyDescent="0.25">
      <c r="A832" t="s">
        <v>10</v>
      </c>
      <c r="B832" s="5" t="str">
        <f>HYPERLINK("http://www.broadinstitute.org/gsea/msigdb/cards/REACTOME_GLYCOSAMINOGLYCAN_METABOLISM.html","REACTOME_GLYCOSAMINOGLYCAN_METABOLISM")</f>
        <v>REACTOME_GLYCOSAMINOGLYCAN_METABOLISM</v>
      </c>
      <c r="C832" s="4">
        <v>120</v>
      </c>
      <c r="D832" s="3">
        <v>1.7610619999999999</v>
      </c>
      <c r="E832" s="1">
        <v>0</v>
      </c>
      <c r="F832" s="2">
        <v>1.0460972000000001E-2</v>
      </c>
    </row>
    <row r="833" spans="1:6" x14ac:dyDescent="0.25">
      <c r="A833" t="s">
        <v>10</v>
      </c>
      <c r="B833" s="5" t="str">
        <f>HYPERLINK("http://www.broadinstitute.org/gsea/msigdb/cards/REACTOME_PHOSPHORYLATION_OF_CD3_AND_TCR_ZETA_CHAINS.html","REACTOME_PHOSPHORYLATION_OF_CD3_AND_TCR_ZETA_CHAINS")</f>
        <v>REACTOME_PHOSPHORYLATION_OF_CD3_AND_TCR_ZETA_CHAINS</v>
      </c>
      <c r="C833" s="4">
        <v>15</v>
      </c>
      <c r="D833" s="3">
        <v>1.7610298</v>
      </c>
      <c r="E833" s="1">
        <v>0</v>
      </c>
      <c r="F833" s="2">
        <v>1.045096E-2</v>
      </c>
    </row>
    <row r="834" spans="1:6" x14ac:dyDescent="0.25">
      <c r="A834" t="s">
        <v>7</v>
      </c>
      <c r="B834" s="5" t="str">
        <f>HYPERLINK("http://www.broadinstitute.org/gsea/msigdb/cards/GOCC_ER_TO_GOLGI_TRANSPORT_VESICLE_MEMBRANE.html","GOCC_ER_TO_GOLGI_TRANSPORT_VESICLE_MEMBRANE")</f>
        <v>GOCC_ER_TO_GOLGI_TRANSPORT_VESICLE_MEMBRANE</v>
      </c>
      <c r="C834" s="4">
        <v>23</v>
      </c>
      <c r="D834" s="3">
        <v>1.7607390000000001</v>
      </c>
      <c r="E834" s="1">
        <v>1.7452006999999999E-3</v>
      </c>
      <c r="F834" s="2">
        <v>1.0478848000000001E-2</v>
      </c>
    </row>
    <row r="835" spans="1:6" x14ac:dyDescent="0.25">
      <c r="A835" t="s">
        <v>6</v>
      </c>
      <c r="B835" s="5" t="str">
        <f>HYPERLINK("http://www.broadinstitute.org/gsea/msigdb/cards/GOBP_POSITIVE_REGULATION_OF_LEUKOCYTE_DEGRANULATION.html","GOBP_POSITIVE_REGULATION_OF_LEUKOCYTE_DEGRANULATION")</f>
        <v>GOBP_POSITIVE_REGULATION_OF_LEUKOCYTE_DEGRANULATION</v>
      </c>
      <c r="C835" s="4">
        <v>32</v>
      </c>
      <c r="D835" s="3">
        <v>1.7606778999999999</v>
      </c>
      <c r="E835" s="1">
        <v>1.6750419E-3</v>
      </c>
      <c r="F835" s="2">
        <v>1.04727745E-2</v>
      </c>
    </row>
    <row r="836" spans="1:6" x14ac:dyDescent="0.25">
      <c r="A836" t="s">
        <v>6</v>
      </c>
      <c r="B836" s="5" t="str">
        <f>HYPERLINK("http://www.broadinstitute.org/gsea/msigdb/cards/GOBP_VESICLE_BUDDING_FROM_MEMBRANE.html","GOBP_VESICLE_BUDDING_FROM_MEMBRANE")</f>
        <v>GOBP_VESICLE_BUDDING_FROM_MEMBRANE</v>
      </c>
      <c r="C836" s="4">
        <v>76</v>
      </c>
      <c r="D836" s="3">
        <v>1.7601259</v>
      </c>
      <c r="E836" s="1">
        <v>0</v>
      </c>
      <c r="F836" s="2">
        <v>1.0542028E-2</v>
      </c>
    </row>
    <row r="837" spans="1:6" x14ac:dyDescent="0.25">
      <c r="A837" t="s">
        <v>8</v>
      </c>
      <c r="B837" s="5" t="str">
        <f>HYPERLINK("http://www.broadinstitute.org/gsea/msigdb/cards/GOMF_TRANSMEMBRANE_RECEPTOR_PROTEIN_TYROSINE_KINASE_ACTIVATOR_ACTIVITY.html","GOMF_TRANSMEMBRANE_RECEPTOR_PROTEIN_TYROSINE_KINASE_ACTIVATOR_ACTIVITY")</f>
        <v>GOMF_TRANSMEMBRANE_RECEPTOR_PROTEIN_TYROSINE_KINASE_ACTIVATOR_ACTIVITY</v>
      </c>
      <c r="C837" s="4">
        <v>16</v>
      </c>
      <c r="D837" s="3">
        <v>1.7595388000000001</v>
      </c>
      <c r="E837" s="1">
        <v>3.4904013999999999E-3</v>
      </c>
      <c r="F837" s="2">
        <v>1.0609922000000001E-2</v>
      </c>
    </row>
    <row r="838" spans="1:6" x14ac:dyDescent="0.25">
      <c r="A838" t="s">
        <v>6</v>
      </c>
      <c r="B838" s="5" t="str">
        <f>HYPERLINK("http://www.broadinstitute.org/gsea/msigdb/cards/GOBP_CELLULAR_RESPONSE_TO_CHEMICAL_STRESS.html","GOBP_CELLULAR_RESPONSE_TO_CHEMICAL_STRESS")</f>
        <v>GOBP_CELLULAR_RESPONSE_TO_CHEMICAL_STRESS</v>
      </c>
      <c r="C838" s="4">
        <v>295</v>
      </c>
      <c r="D838" s="3">
        <v>1.7589747</v>
      </c>
      <c r="E838" s="1">
        <v>0</v>
      </c>
      <c r="F838" s="2">
        <v>1.0649179999999999E-2</v>
      </c>
    </row>
    <row r="839" spans="1:6" x14ac:dyDescent="0.25">
      <c r="A839" t="s">
        <v>8</v>
      </c>
      <c r="B839" s="5" t="str">
        <f>HYPERLINK("http://www.broadinstitute.org/gsea/msigdb/cards/GOMF_TUMOR_NECROSIS_FACTOR_RECEPTOR_BINDING.html","GOMF_TUMOR_NECROSIS_FACTOR_RECEPTOR_BINDING")</f>
        <v>GOMF_TUMOR_NECROSIS_FACTOR_RECEPTOR_BINDING</v>
      </c>
      <c r="C839" s="4">
        <v>32</v>
      </c>
      <c r="D839" s="3">
        <v>1.7587170999999999</v>
      </c>
      <c r="E839" s="1">
        <v>1.6420361E-3</v>
      </c>
      <c r="F839" s="2">
        <v>1.0670102000000001E-2</v>
      </c>
    </row>
    <row r="840" spans="1:6" x14ac:dyDescent="0.25">
      <c r="A840" t="s">
        <v>8</v>
      </c>
      <c r="B840" s="5" t="str">
        <f>HYPERLINK("http://www.broadinstitute.org/gsea/msigdb/cards/GOMF_MHC_CLASS_I_PROTEIN_BINDING.html","GOMF_MHC_CLASS_I_PROTEIN_BINDING")</f>
        <v>GOMF_MHC_CLASS_I_PROTEIN_BINDING</v>
      </c>
      <c r="C840" s="4">
        <v>32</v>
      </c>
      <c r="D840" s="3">
        <v>1.7581918000000001</v>
      </c>
      <c r="E840" s="1">
        <v>6.7114093999999999E-3</v>
      </c>
      <c r="F840" s="2">
        <v>1.0733591000000001E-2</v>
      </c>
    </row>
    <row r="841" spans="1:6" x14ac:dyDescent="0.25">
      <c r="A841" t="s">
        <v>10</v>
      </c>
      <c r="B841" s="5" t="str">
        <f>HYPERLINK("http://www.broadinstitute.org/gsea/msigdb/cards/REACTOME_RHO_GTPASES_ACTIVATE_NADPH_OXIDASES.html","REACTOME_RHO_GTPASES_ACTIVATE_NADPH_OXIDASES")</f>
        <v>REACTOME_RHO_GTPASES_ACTIVATE_NADPH_OXIDASES</v>
      </c>
      <c r="C841" s="4">
        <v>23</v>
      </c>
      <c r="D841" s="3">
        <v>1.7580720000000001</v>
      </c>
      <c r="E841" s="1">
        <v>1.7064846000000001E-3</v>
      </c>
      <c r="F841" s="2">
        <v>1.0734942000000001E-2</v>
      </c>
    </row>
    <row r="842" spans="1:6" x14ac:dyDescent="0.25">
      <c r="A842" t="s">
        <v>6</v>
      </c>
      <c r="B842" s="5" t="str">
        <f>HYPERLINK("http://www.broadinstitute.org/gsea/msigdb/cards/GOBP_REGULATION_OF_MEMBRANE_PROTEIN_ECTODOMAIN_PROTEOLYSIS.html","GOBP_REGULATION_OF_MEMBRANE_PROTEIN_ECTODOMAIN_PROTEOLYSIS")</f>
        <v>GOBP_REGULATION_OF_MEMBRANE_PROTEIN_ECTODOMAIN_PROTEOLYSIS</v>
      </c>
      <c r="C842" s="4">
        <v>23</v>
      </c>
      <c r="D842" s="3">
        <v>1.7580042</v>
      </c>
      <c r="E842" s="1">
        <v>1.6447369E-3</v>
      </c>
      <c r="F842" s="2">
        <v>1.0735069E-2</v>
      </c>
    </row>
    <row r="843" spans="1:6" x14ac:dyDescent="0.25">
      <c r="A843" t="s">
        <v>6</v>
      </c>
      <c r="B843" s="5" t="str">
        <f>HYPERLINK("http://www.broadinstitute.org/gsea/msigdb/cards/GOBP_LYMPH_VESSEL_MORPHOGENESIS.html","GOBP_LYMPH_VESSEL_MORPHOGENESIS")</f>
        <v>GOBP_LYMPH_VESSEL_MORPHOGENESIS</v>
      </c>
      <c r="C843" s="4">
        <v>24</v>
      </c>
      <c r="D843" s="3">
        <v>1.7574308000000001</v>
      </c>
      <c r="E843" s="1">
        <v>1.7182130999999999E-3</v>
      </c>
      <c r="F843" s="2">
        <v>1.0775295000000001E-2</v>
      </c>
    </row>
    <row r="844" spans="1:6" x14ac:dyDescent="0.25">
      <c r="A844" t="s">
        <v>7</v>
      </c>
      <c r="B844" s="5" t="str">
        <f>HYPERLINK("http://www.broadinstitute.org/gsea/msigdb/cards/GOCC_COPI_COATED_VESICLE_MEMBRANE.html","GOCC_COPI_COATED_VESICLE_MEMBRANE")</f>
        <v>GOCC_COPI_COATED_VESICLE_MEMBRANE</v>
      </c>
      <c r="C844" s="4">
        <v>17</v>
      </c>
      <c r="D844" s="3">
        <v>1.7572547999999999</v>
      </c>
      <c r="E844" s="1">
        <v>1.7543859999999999E-3</v>
      </c>
      <c r="F844" s="2">
        <v>1.0775432999999999E-2</v>
      </c>
    </row>
    <row r="845" spans="1:6" x14ac:dyDescent="0.25">
      <c r="A845" t="s">
        <v>8</v>
      </c>
      <c r="B845" s="5" t="str">
        <f>HYPERLINK("http://www.broadinstitute.org/gsea/msigdb/cards/GOMF_OXIDOREDUCTASE_ACTIVITY_ACTING_ON_THE_CH_NH2_GROUP_OF_DONORS.html","GOMF_OXIDOREDUCTASE_ACTIVITY_ACTING_ON_THE_CH_NH2_GROUP_OF_DONORS")</f>
        <v>GOMF_OXIDOREDUCTASE_ACTIVITY_ACTING_ON_THE_CH_NH2_GROUP_OF_DONORS</v>
      </c>
      <c r="C845" s="4">
        <v>21</v>
      </c>
      <c r="D845" s="3">
        <v>1.7570844999999999</v>
      </c>
      <c r="E845" s="1">
        <v>3.3840947000000001E-3</v>
      </c>
      <c r="F845" s="2">
        <v>1.0787101E-2</v>
      </c>
    </row>
    <row r="846" spans="1:6" x14ac:dyDescent="0.25">
      <c r="A846" t="s">
        <v>6</v>
      </c>
      <c r="B846" s="5" t="str">
        <f>HYPERLINK("http://www.broadinstitute.org/gsea/msigdb/cards/GOBP_ICOSANOID_SECRETION.html","GOBP_ICOSANOID_SECRETION")</f>
        <v>GOBP_ICOSANOID_SECRETION</v>
      </c>
      <c r="C846" s="4">
        <v>51</v>
      </c>
      <c r="D846" s="3">
        <v>1.757045</v>
      </c>
      <c r="E846" s="1">
        <v>1.5948963E-3</v>
      </c>
      <c r="F846" s="2">
        <v>1.0779446999999999E-2</v>
      </c>
    </row>
    <row r="847" spans="1:6" x14ac:dyDescent="0.25">
      <c r="A847" t="s">
        <v>6</v>
      </c>
      <c r="B847" s="5" t="str">
        <f>HYPERLINK("http://www.broadinstitute.org/gsea/msigdb/cards/GOBP_VASCULAR_ENDOTHELIAL_GROWTH_FACTOR_SIGNALING_PATHWAY.html","GOBP_VASCULAR_ENDOTHELIAL_GROWTH_FACTOR_SIGNALING_PATHWAY")</f>
        <v>GOBP_VASCULAR_ENDOTHELIAL_GROWTH_FACTOR_SIGNALING_PATHWAY</v>
      </c>
      <c r="C847" s="4">
        <v>42</v>
      </c>
      <c r="D847" s="3">
        <v>1.7566067000000001</v>
      </c>
      <c r="E847" s="1">
        <v>0</v>
      </c>
      <c r="F847" s="2">
        <v>1.0828245E-2</v>
      </c>
    </row>
    <row r="848" spans="1:6" x14ac:dyDescent="0.25">
      <c r="A848" t="s">
        <v>10</v>
      </c>
      <c r="B848" s="5" t="str">
        <f>HYPERLINK("http://www.broadinstitute.org/gsea/msigdb/cards/REACTOME_GLYCOSPHINGOLIPID_CATABOLISM.html","REACTOME_GLYCOSPHINGOLIPID_CATABOLISM")</f>
        <v>REACTOME_GLYCOSPHINGOLIPID_CATABOLISM</v>
      </c>
      <c r="C848" s="4">
        <v>31</v>
      </c>
      <c r="D848" s="3">
        <v>1.7563157</v>
      </c>
      <c r="E848" s="1">
        <v>5.0761419999999996E-3</v>
      </c>
      <c r="F848" s="2">
        <v>1.0850022000000001E-2</v>
      </c>
    </row>
    <row r="849" spans="1:6" x14ac:dyDescent="0.25">
      <c r="A849" t="s">
        <v>6</v>
      </c>
      <c r="B849" s="5" t="str">
        <f>HYPERLINK("http://www.broadinstitute.org/gsea/msigdb/cards/GOBP_LYMPHOCYTE_APOPTOTIC_PROCESS.html","GOBP_LYMPHOCYTE_APOPTOTIC_PROCESS")</f>
        <v>GOBP_LYMPHOCYTE_APOPTOTIC_PROCESS</v>
      </c>
      <c r="C849" s="4">
        <v>97</v>
      </c>
      <c r="D849" s="3">
        <v>1.7557946</v>
      </c>
      <c r="E849" s="1">
        <v>0</v>
      </c>
      <c r="F849" s="2">
        <v>1.09051615E-2</v>
      </c>
    </row>
    <row r="850" spans="1:6" x14ac:dyDescent="0.25">
      <c r="A850" t="s">
        <v>6</v>
      </c>
      <c r="B850" s="5" t="str">
        <f>HYPERLINK("http://www.broadinstitute.org/gsea/msigdb/cards/GOBP_T_HELPER_17_TYPE_IMMUNE_RESPONSE.html","GOBP_T_HELPER_17_TYPE_IMMUNE_RESPONSE")</f>
        <v>GOBP_T_HELPER_17_TYPE_IMMUNE_RESPONSE</v>
      </c>
      <c r="C850" s="4">
        <v>46</v>
      </c>
      <c r="D850" s="3">
        <v>1.7548147000000001</v>
      </c>
      <c r="E850" s="1">
        <v>0</v>
      </c>
      <c r="F850" s="2">
        <v>1.1007278000000001E-2</v>
      </c>
    </row>
    <row r="851" spans="1:6" x14ac:dyDescent="0.25">
      <c r="A851" t="s">
        <v>6</v>
      </c>
      <c r="B851" s="5" t="str">
        <f>HYPERLINK("http://www.broadinstitute.org/gsea/msigdb/cards/GOBP_POSITIVE_REGULATION_OF_LYMPHOCYTE_CHEMOTAXIS.html","GOBP_POSITIVE_REGULATION_OF_LYMPHOCYTE_CHEMOTAXIS")</f>
        <v>GOBP_POSITIVE_REGULATION_OF_LYMPHOCYTE_CHEMOTAXIS</v>
      </c>
      <c r="C851" s="4">
        <v>17</v>
      </c>
      <c r="D851" s="3">
        <v>1.7544888000000001</v>
      </c>
      <c r="E851" s="1">
        <v>6.5040649999999998E-3</v>
      </c>
      <c r="F851" s="2">
        <v>1.1026259E-2</v>
      </c>
    </row>
    <row r="852" spans="1:6" x14ac:dyDescent="0.25">
      <c r="A852" t="s">
        <v>6</v>
      </c>
      <c r="B852" s="5" t="str">
        <f>HYPERLINK("http://www.broadinstitute.org/gsea/msigdb/cards/GOBP_CELLULAR_DEFENSE_RESPONSE.html","GOBP_CELLULAR_DEFENSE_RESPONSE")</f>
        <v>GOBP_CELLULAR_DEFENSE_RESPONSE</v>
      </c>
      <c r="C852" s="4">
        <v>15</v>
      </c>
      <c r="D852" s="3">
        <v>1.7544614999999999</v>
      </c>
      <c r="E852" s="1">
        <v>6.9444444999999999E-3</v>
      </c>
      <c r="F852" s="2">
        <v>1.1015817000000001E-2</v>
      </c>
    </row>
    <row r="853" spans="1:6" x14ac:dyDescent="0.25">
      <c r="A853" t="s">
        <v>6</v>
      </c>
      <c r="B853" s="5" t="str">
        <f>HYPERLINK("http://www.broadinstitute.org/gsea/msigdb/cards/GOBP_T_CELL_RECEPTOR_SIGNALING_PATHWAY.html","GOBP_T_CELL_RECEPTOR_SIGNALING_PATHWAY")</f>
        <v>GOBP_T_CELL_RECEPTOR_SIGNALING_PATHWAY</v>
      </c>
      <c r="C853" s="4">
        <v>138</v>
      </c>
      <c r="D853" s="3">
        <v>1.7544112000000001</v>
      </c>
      <c r="E853" s="1">
        <v>0</v>
      </c>
      <c r="F853" s="2">
        <v>1.1011798E-2</v>
      </c>
    </row>
    <row r="854" spans="1:6" x14ac:dyDescent="0.25">
      <c r="A854" t="s">
        <v>6</v>
      </c>
      <c r="B854" s="5" t="str">
        <f>HYPERLINK("http://www.broadinstitute.org/gsea/msigdb/cards/GOBP_LEUKOCYTE_MIGRATION_INVOLVED_IN_INFLAMMATORY_RESPONSE.html","GOBP_LEUKOCYTE_MIGRATION_INVOLVED_IN_INFLAMMATORY_RESPONSE")</f>
        <v>GOBP_LEUKOCYTE_MIGRATION_INVOLVED_IN_INFLAMMATORY_RESPONSE</v>
      </c>
      <c r="C854" s="4">
        <v>26</v>
      </c>
      <c r="D854" s="3">
        <v>1.7533422999999999</v>
      </c>
      <c r="E854" s="1">
        <v>3.4188033999999999E-3</v>
      </c>
      <c r="F854" s="2">
        <v>1.1129764E-2</v>
      </c>
    </row>
    <row r="855" spans="1:6" x14ac:dyDescent="0.25">
      <c r="A855" t="s">
        <v>6</v>
      </c>
      <c r="B855" s="5" t="str">
        <f>HYPERLINK("http://www.broadinstitute.org/gsea/msigdb/cards/GOBP_POSITIVE_REGULATION_OF_GTPASE_ACTIVITY.html","GOBP_POSITIVE_REGULATION_OF_GTPASE_ACTIVITY")</f>
        <v>GOBP_POSITIVE_REGULATION_OF_GTPASE_ACTIVITY</v>
      </c>
      <c r="C855" s="4">
        <v>246</v>
      </c>
      <c r="D855" s="3">
        <v>1.7521382999999999</v>
      </c>
      <c r="E855" s="1">
        <v>0</v>
      </c>
      <c r="F855" s="2">
        <v>1.1261821999999999E-2</v>
      </c>
    </row>
    <row r="856" spans="1:6" x14ac:dyDescent="0.25">
      <c r="A856" t="s">
        <v>10</v>
      </c>
      <c r="B856" s="5" t="str">
        <f>HYPERLINK("http://www.broadinstitute.org/gsea/msigdb/cards/REACTOME_EGFR_DOWNREGULATION.html","REACTOME_EGFR_DOWNREGULATION")</f>
        <v>REACTOME_EGFR_DOWNREGULATION</v>
      </c>
      <c r="C856" s="4">
        <v>31</v>
      </c>
      <c r="D856" s="3">
        <v>1.7518563</v>
      </c>
      <c r="E856" s="1">
        <v>3.3500837E-3</v>
      </c>
      <c r="F856" s="2">
        <v>1.1275245E-2</v>
      </c>
    </row>
    <row r="857" spans="1:6" x14ac:dyDescent="0.25">
      <c r="A857" t="s">
        <v>8</v>
      </c>
      <c r="B857" s="5" t="str">
        <f>HYPERLINK("http://www.broadinstitute.org/gsea/msigdb/cards/GOMF_CATALYTIC_ACTIVITY_ACTING_ON_A_GLYCOPROTEIN.html","GOMF_CATALYTIC_ACTIVITY_ACTING_ON_A_GLYCOPROTEIN")</f>
        <v>GOMF_CATALYTIC_ACTIVITY_ACTING_ON_A_GLYCOPROTEIN</v>
      </c>
      <c r="C857" s="4">
        <v>22</v>
      </c>
      <c r="D857" s="3">
        <v>1.7513871999999999</v>
      </c>
      <c r="E857" s="1">
        <v>3.2786884999999998E-3</v>
      </c>
      <c r="F857" s="2">
        <v>1.1309140000000001E-2</v>
      </c>
    </row>
    <row r="858" spans="1:6" x14ac:dyDescent="0.25">
      <c r="A858" t="s">
        <v>6</v>
      </c>
      <c r="B858" s="5" t="str">
        <f>HYPERLINK("http://www.broadinstitute.org/gsea/msigdb/cards/GOBP_VIRAL_PROCESS.html","GOBP_VIRAL_PROCESS")</f>
        <v>GOBP_VIRAL_PROCESS</v>
      </c>
      <c r="C858" s="4">
        <v>315</v>
      </c>
      <c r="D858" s="3">
        <v>1.7474968</v>
      </c>
      <c r="E858" s="1">
        <v>0</v>
      </c>
      <c r="F858" s="2">
        <v>1.1856903E-2</v>
      </c>
    </row>
    <row r="859" spans="1:6" x14ac:dyDescent="0.25">
      <c r="A859" t="s">
        <v>8</v>
      </c>
      <c r="B859" s="5" t="str">
        <f>HYPERLINK("http://www.broadinstitute.org/gsea/msigdb/cards/GOMF_BILE_ACID_TRANSMEMBRANE_TRANSPORTER_ACTIVITY.html","GOMF_BILE_ACID_TRANSMEMBRANE_TRANSPORTER_ACTIVITY")</f>
        <v>GOMF_BILE_ACID_TRANSMEMBRANE_TRANSPORTER_ACTIVITY</v>
      </c>
      <c r="C859" s="4">
        <v>20</v>
      </c>
      <c r="D859" s="3">
        <v>1.7473924999999999</v>
      </c>
      <c r="E859" s="1">
        <v>3.327787E-3</v>
      </c>
      <c r="F859" s="2">
        <v>1.1859491E-2</v>
      </c>
    </row>
    <row r="860" spans="1:6" x14ac:dyDescent="0.25">
      <c r="A860" t="s">
        <v>8</v>
      </c>
      <c r="B860" s="5" t="str">
        <f>HYPERLINK("http://www.broadinstitute.org/gsea/msigdb/cards/GOMF_I_SMAD_BINDING.html","GOMF_I_SMAD_BINDING")</f>
        <v>GOMF_I_SMAD_BINDING</v>
      </c>
      <c r="C860" s="4">
        <v>16</v>
      </c>
      <c r="D860" s="3">
        <v>1.7470748</v>
      </c>
      <c r="E860" s="1">
        <v>3.5026269999999999E-3</v>
      </c>
      <c r="F860" s="2">
        <v>1.188877E-2</v>
      </c>
    </row>
    <row r="861" spans="1:6" x14ac:dyDescent="0.25">
      <c r="A861" t="s">
        <v>10</v>
      </c>
      <c r="B861" s="5" t="str">
        <f>HYPERLINK("http://www.broadinstitute.org/gsea/msigdb/cards/REACTOME_INTEGRIN_SIGNALING.html","REACTOME_INTEGRIN_SIGNALING")</f>
        <v>REACTOME_INTEGRIN_SIGNALING</v>
      </c>
      <c r="C861" s="4">
        <v>27</v>
      </c>
      <c r="D861" s="3">
        <v>1.7451017</v>
      </c>
      <c r="E861" s="1">
        <v>3.4423408000000002E-3</v>
      </c>
      <c r="F861" s="2">
        <v>1.2186977E-2</v>
      </c>
    </row>
    <row r="862" spans="1:6" x14ac:dyDescent="0.25">
      <c r="A862" t="s">
        <v>8</v>
      </c>
      <c r="B862" s="5" t="str">
        <f>HYPERLINK("http://www.broadinstitute.org/gsea/msigdb/cards/GOMF_ACETYLGALACTOSAMINYLTRANSFERASE_ACTIVITY.html","GOMF_ACETYLGALACTOSAMINYLTRANSFERASE_ACTIVITY")</f>
        <v>GOMF_ACETYLGALACTOSAMINYLTRANSFERASE_ACTIVITY</v>
      </c>
      <c r="C862" s="4">
        <v>33</v>
      </c>
      <c r="D862" s="3">
        <v>1.7442610999999999</v>
      </c>
      <c r="E862" s="1">
        <v>3.2786884999999998E-3</v>
      </c>
      <c r="F862" s="2">
        <v>1.2276209E-2</v>
      </c>
    </row>
    <row r="863" spans="1:6" x14ac:dyDescent="0.25">
      <c r="A863" t="s">
        <v>6</v>
      </c>
      <c r="B863" s="5" t="str">
        <f>HYPERLINK("http://www.broadinstitute.org/gsea/msigdb/cards/GOBP_SYNCYTIUM_FORMATION.html","GOBP_SYNCYTIUM_FORMATION")</f>
        <v>GOBP_SYNCYTIUM_FORMATION</v>
      </c>
      <c r="C863" s="4">
        <v>67</v>
      </c>
      <c r="D863" s="3">
        <v>1.7441637999999999</v>
      </c>
      <c r="E863" s="1">
        <v>1.5267175999999999E-3</v>
      </c>
      <c r="F863" s="2">
        <v>1.2277095999999999E-2</v>
      </c>
    </row>
    <row r="864" spans="1:6" x14ac:dyDescent="0.25">
      <c r="A864" t="s">
        <v>5</v>
      </c>
      <c r="B864" s="5" t="str">
        <f>HYPERLINK("http://www.broadinstitute.org/gsea/msigdb/cards/BIOCARTA_MAPK_PATHWAY.html","BIOCARTA_MAPK_PATHWAY")</f>
        <v>BIOCARTA_MAPK_PATHWAY</v>
      </c>
      <c r="C864" s="4">
        <v>76</v>
      </c>
      <c r="D864" s="3">
        <v>1.7439032999999999</v>
      </c>
      <c r="E864" s="1">
        <v>0</v>
      </c>
      <c r="F864" s="2">
        <v>1.2304377E-2</v>
      </c>
    </row>
    <row r="865" spans="1:6" x14ac:dyDescent="0.25">
      <c r="A865" t="s">
        <v>6</v>
      </c>
      <c r="B865" s="5" t="str">
        <f>HYPERLINK("http://www.broadinstitute.org/gsea/msigdb/cards/GOBP_REGULATION_OF_HEMOPOIESIS.html","GOBP_REGULATION_OF_HEMOPOIESIS")</f>
        <v>GOBP_REGULATION_OF_HEMOPOIESIS</v>
      </c>
      <c r="C865" s="4">
        <v>430</v>
      </c>
      <c r="D865" s="3">
        <v>1.7428802000000001</v>
      </c>
      <c r="E865" s="1">
        <v>0</v>
      </c>
      <c r="F865" s="2">
        <v>1.2435882000000001E-2</v>
      </c>
    </row>
    <row r="866" spans="1:6" x14ac:dyDescent="0.25">
      <c r="A866" t="s">
        <v>6</v>
      </c>
      <c r="B866" s="5" t="str">
        <f>HYPERLINK("http://www.broadinstitute.org/gsea/msigdb/cards/GOBP_POSITIVE_REGULATION_OF_VASCULAR_PERMEABILITY.html","GOBP_POSITIVE_REGULATION_OF_VASCULAR_PERMEABILITY")</f>
        <v>GOBP_POSITIVE_REGULATION_OF_VASCULAR_PERMEABILITY</v>
      </c>
      <c r="C866" s="4">
        <v>20</v>
      </c>
      <c r="D866" s="3">
        <v>1.7424854000000001</v>
      </c>
      <c r="E866" s="1">
        <v>4.9916804000000002E-3</v>
      </c>
      <c r="F866" s="2">
        <v>1.2493008E-2</v>
      </c>
    </row>
    <row r="867" spans="1:6" x14ac:dyDescent="0.25">
      <c r="A867" t="s">
        <v>8</v>
      </c>
      <c r="B867" s="5" t="str">
        <f>HYPERLINK("http://www.broadinstitute.org/gsea/msigdb/cards/GOMF_C_C_CHEMOKINE_BINDING.html","GOMF_C_C_CHEMOKINE_BINDING")</f>
        <v>GOMF_C_C_CHEMOKINE_BINDING</v>
      </c>
      <c r="C867" s="4">
        <v>25</v>
      </c>
      <c r="D867" s="3">
        <v>1.7424786999999999</v>
      </c>
      <c r="E867" s="1">
        <v>6.5789474000000001E-3</v>
      </c>
      <c r="F867" s="2">
        <v>1.2479795E-2</v>
      </c>
    </row>
    <row r="868" spans="1:6" x14ac:dyDescent="0.25">
      <c r="A868" t="s">
        <v>6</v>
      </c>
      <c r="B868" s="5" t="str">
        <f>HYPERLINK("http://www.broadinstitute.org/gsea/msigdb/cards/GOBP_TRANSCYTOSIS.html","GOBP_TRANSCYTOSIS")</f>
        <v>GOBP_TRANSCYTOSIS</v>
      </c>
      <c r="C868" s="4">
        <v>21</v>
      </c>
      <c r="D868" s="3">
        <v>1.742472</v>
      </c>
      <c r="E868" s="1">
        <v>0</v>
      </c>
      <c r="F868" s="2">
        <v>1.2466618E-2</v>
      </c>
    </row>
    <row r="869" spans="1:6" x14ac:dyDescent="0.25">
      <c r="A869" t="s">
        <v>6</v>
      </c>
      <c r="B869" s="5" t="str">
        <f>HYPERLINK("http://www.broadinstitute.org/gsea/msigdb/cards/GOBP_NEGATIVE_REGULATION_OF_REGULATED_SECRETORY_PATHWAY.html","GOBP_NEGATIVE_REGULATION_OF_REGULATED_SECRETORY_PATHWAY")</f>
        <v>GOBP_NEGATIVE_REGULATION_OF_REGULATED_SECRETORY_PATHWAY</v>
      </c>
      <c r="C869" s="4">
        <v>24</v>
      </c>
      <c r="D869" s="3">
        <v>1.74241</v>
      </c>
      <c r="E869" s="1">
        <v>6.7340066000000001E-3</v>
      </c>
      <c r="F869" s="2">
        <v>1.2459767E-2</v>
      </c>
    </row>
    <row r="870" spans="1:6" x14ac:dyDescent="0.25">
      <c r="A870" t="s">
        <v>8</v>
      </c>
      <c r="B870" s="5" t="str">
        <f>HYPERLINK("http://www.broadinstitute.org/gsea/msigdb/cards/GOMF_GTPASE_ACTIVITY.html","GOMF_GTPASE_ACTIVITY")</f>
        <v>GOMF_GTPASE_ACTIVITY</v>
      </c>
      <c r="C870" s="4">
        <v>293</v>
      </c>
      <c r="D870" s="3">
        <v>1.7423792</v>
      </c>
      <c r="E870" s="1">
        <v>0</v>
      </c>
      <c r="F870" s="2">
        <v>1.2450398999999999E-2</v>
      </c>
    </row>
    <row r="871" spans="1:6" x14ac:dyDescent="0.25">
      <c r="A871" t="s">
        <v>6</v>
      </c>
      <c r="B871" s="5" t="str">
        <f>HYPERLINK("http://www.broadinstitute.org/gsea/msigdb/cards/GOBP_POSITIVE_REGULATION_OF_GLIAL_CELL_PROLIFERATION.html","GOBP_POSITIVE_REGULATION_OF_GLIAL_CELL_PROLIFERATION")</f>
        <v>GOBP_POSITIVE_REGULATION_OF_GLIAL_CELL_PROLIFERATION</v>
      </c>
      <c r="C871" s="4">
        <v>29</v>
      </c>
      <c r="D871" s="3">
        <v>1.7422023</v>
      </c>
      <c r="E871" s="1">
        <v>3.3222590000000001E-3</v>
      </c>
      <c r="F871" s="2">
        <v>1.2465996E-2</v>
      </c>
    </row>
    <row r="872" spans="1:6" x14ac:dyDescent="0.25">
      <c r="A872" t="s">
        <v>7</v>
      </c>
      <c r="B872" s="5" t="str">
        <f>HYPERLINK("http://www.broadinstitute.org/gsea/msigdb/cards/GOCC_LYSOSOMAL_LUMEN.html","GOCC_LYSOSOMAL_LUMEN")</f>
        <v>GOCC_LYSOSOMAL_LUMEN</v>
      </c>
      <c r="C872" s="4">
        <v>20</v>
      </c>
      <c r="D872" s="3">
        <v>1.7417141</v>
      </c>
      <c r="E872" s="1">
        <v>1.8083183000000001E-3</v>
      </c>
      <c r="F872" s="2">
        <v>1.2520246E-2</v>
      </c>
    </row>
    <row r="873" spans="1:6" x14ac:dyDescent="0.25">
      <c r="A873" t="s">
        <v>6</v>
      </c>
      <c r="B873" s="5" t="str">
        <f>HYPERLINK("http://www.broadinstitute.org/gsea/msigdb/cards/GOBP_NUCLEOTIDE_SUGAR_METABOLIC_PROCESS.html","GOBP_NUCLEOTIDE_SUGAR_METABOLIC_PROCESS")</f>
        <v>GOBP_NUCLEOTIDE_SUGAR_METABOLIC_PROCESS</v>
      </c>
      <c r="C873" s="4">
        <v>34</v>
      </c>
      <c r="D873" s="3">
        <v>1.740612</v>
      </c>
      <c r="E873" s="1">
        <v>0</v>
      </c>
      <c r="F873" s="2">
        <v>1.2664135999999999E-2</v>
      </c>
    </row>
    <row r="874" spans="1:6" x14ac:dyDescent="0.25">
      <c r="A874" t="s">
        <v>10</v>
      </c>
      <c r="B874" s="5" t="str">
        <f>HYPERLINK("http://www.broadinstitute.org/gsea/msigdb/cards/REACTOME_NCAM_SIGNALING_FOR_NEURITE_OUT_GROWTH.html","REACTOME_NCAM_SIGNALING_FOR_NEURITE_OUT_GROWTH")</f>
        <v>REACTOME_NCAM_SIGNALING_FOR_NEURITE_OUT_GROWTH</v>
      </c>
      <c r="C874" s="4">
        <v>35</v>
      </c>
      <c r="D874" s="3">
        <v>1.7399222000000001</v>
      </c>
      <c r="E874" s="1">
        <v>1.6863407E-3</v>
      </c>
      <c r="F874" s="2">
        <v>1.2737816000000001E-2</v>
      </c>
    </row>
    <row r="875" spans="1:6" x14ac:dyDescent="0.25">
      <c r="A875" t="s">
        <v>6</v>
      </c>
      <c r="B875" s="5" t="str">
        <f>HYPERLINK("http://www.broadinstitute.org/gsea/msigdb/cards/GOBP_REGULATION_OF_RESPONSE_TO_TYPE_II_INTERFERON.html","GOBP_REGULATION_OF_RESPONSE_TO_TYPE_II_INTERFERON")</f>
        <v>GOBP_REGULATION_OF_RESPONSE_TO_TYPE_II_INTERFERON</v>
      </c>
      <c r="C875" s="4">
        <v>15</v>
      </c>
      <c r="D875" s="3">
        <v>1.7389642000000001</v>
      </c>
      <c r="E875" s="1">
        <v>5.328597E-3</v>
      </c>
      <c r="F875" s="2">
        <v>1.2859786E-2</v>
      </c>
    </row>
    <row r="876" spans="1:6" x14ac:dyDescent="0.25">
      <c r="A876" t="s">
        <v>8</v>
      </c>
      <c r="B876" s="5" t="str">
        <f>HYPERLINK("http://www.broadinstitute.org/gsea/msigdb/cards/GOMF_PHOSPHATIDYLINOSITOL_3_5_BISPHOSPHATE_BINDING.html","GOMF_PHOSPHATIDYLINOSITOL_3_5_BISPHOSPHATE_BINDING")</f>
        <v>GOMF_PHOSPHATIDYLINOSITOL_3_5_BISPHOSPHATE_BINDING</v>
      </c>
      <c r="C876" s="4">
        <v>30</v>
      </c>
      <c r="D876" s="3">
        <v>1.7388192</v>
      </c>
      <c r="E876" s="1">
        <v>5.2539403999999996E-3</v>
      </c>
      <c r="F876" s="2">
        <v>1.2873624E-2</v>
      </c>
    </row>
    <row r="877" spans="1:6" x14ac:dyDescent="0.25">
      <c r="A877" t="s">
        <v>6</v>
      </c>
      <c r="B877" s="5" t="str">
        <f>HYPERLINK("http://www.broadinstitute.org/gsea/msigdb/cards/GOBP_CELLULAR_RESPONSE_TO_ACID_CHEMICAL.html","GOBP_CELLULAR_RESPONSE_TO_ACID_CHEMICAL")</f>
        <v>GOBP_CELLULAR_RESPONSE_TO_ACID_CHEMICAL</v>
      </c>
      <c r="C877" s="4">
        <v>87</v>
      </c>
      <c r="D877" s="3">
        <v>1.7383658</v>
      </c>
      <c r="E877" s="1">
        <v>0</v>
      </c>
      <c r="F877" s="2">
        <v>1.2907287E-2</v>
      </c>
    </row>
    <row r="878" spans="1:6" x14ac:dyDescent="0.25">
      <c r="A878" t="s">
        <v>6</v>
      </c>
      <c r="B878" s="5" t="str">
        <f>HYPERLINK("http://www.broadinstitute.org/gsea/msigdb/cards/GOBP_NUCLEOTIDE_SUGAR_BIOSYNTHETIC_PROCESS.html","GOBP_NUCLEOTIDE_SUGAR_BIOSYNTHETIC_PROCESS")</f>
        <v>GOBP_NUCLEOTIDE_SUGAR_BIOSYNTHETIC_PROCESS</v>
      </c>
      <c r="C878" s="4">
        <v>17</v>
      </c>
      <c r="D878" s="3">
        <v>1.7378856</v>
      </c>
      <c r="E878" s="1">
        <v>6.688963E-3</v>
      </c>
      <c r="F878" s="2">
        <v>1.2958235E-2</v>
      </c>
    </row>
    <row r="879" spans="1:6" x14ac:dyDescent="0.25">
      <c r="A879" t="s">
        <v>6</v>
      </c>
      <c r="B879" s="5" t="str">
        <f>HYPERLINK("http://www.broadinstitute.org/gsea/msigdb/cards/GOBP_RESPONSE_TO_EPIDERMAL_GROWTH_FACTOR.html","GOBP_RESPONSE_TO_EPIDERMAL_GROWTH_FACTOR")</f>
        <v>GOBP_RESPONSE_TO_EPIDERMAL_GROWTH_FACTOR</v>
      </c>
      <c r="C879" s="4">
        <v>41</v>
      </c>
      <c r="D879" s="3">
        <v>1.7377543</v>
      </c>
      <c r="E879" s="1">
        <v>0</v>
      </c>
      <c r="F879" s="2">
        <v>1.2966886E-2</v>
      </c>
    </row>
    <row r="880" spans="1:6" x14ac:dyDescent="0.25">
      <c r="A880" t="s">
        <v>6</v>
      </c>
      <c r="B880" s="5" t="str">
        <f>HYPERLINK("http://www.broadinstitute.org/gsea/msigdb/cards/GOBP_POSITIVE_REGULATION_OF_DEFENSE_RESPONSE_TO_BACTERIUM.html","GOBP_POSITIVE_REGULATION_OF_DEFENSE_RESPONSE_TO_BACTERIUM")</f>
        <v>GOBP_POSITIVE_REGULATION_OF_DEFENSE_RESPONSE_TO_BACTERIUM</v>
      </c>
      <c r="C880" s="4">
        <v>15</v>
      </c>
      <c r="D880" s="3">
        <v>1.7376223</v>
      </c>
      <c r="E880" s="1">
        <v>6.8027210000000003E-3</v>
      </c>
      <c r="F880" s="2">
        <v>1.296686E-2</v>
      </c>
    </row>
    <row r="881" spans="1:6" x14ac:dyDescent="0.25">
      <c r="A881" t="s">
        <v>6</v>
      </c>
      <c r="B881" s="5" t="str">
        <f>HYPERLINK("http://www.broadinstitute.org/gsea/msigdb/cards/GOBP_REGULATION_OF_TISSUE_REMODELING.html","GOBP_REGULATION_OF_TISSUE_REMODELING")</f>
        <v>GOBP_REGULATION_OF_TISSUE_REMODELING</v>
      </c>
      <c r="C881" s="4">
        <v>83</v>
      </c>
      <c r="D881" s="3">
        <v>1.7375693000000001</v>
      </c>
      <c r="E881" s="1">
        <v>0</v>
      </c>
      <c r="F881" s="2">
        <v>1.2965648E-2</v>
      </c>
    </row>
    <row r="882" spans="1:6" x14ac:dyDescent="0.25">
      <c r="A882" t="s">
        <v>11</v>
      </c>
      <c r="B882" s="5" t="str">
        <f>HYPERLINK("http://www.broadinstitute.org/gsea/msigdb/cards/WP_ALZHEIMER_39_S_DISEASE.html","WP_ALZHEIMER_39_S_DISEASE")</f>
        <v>WP_ALZHEIMER_39_S_DISEASE</v>
      </c>
      <c r="C882" s="4">
        <v>74</v>
      </c>
      <c r="D882" s="3">
        <v>1.7373002</v>
      </c>
      <c r="E882" s="1">
        <v>1.5748031000000001E-3</v>
      </c>
      <c r="F882" s="2">
        <v>1.2986614E-2</v>
      </c>
    </row>
    <row r="883" spans="1:6" x14ac:dyDescent="0.25">
      <c r="A883" t="s">
        <v>6</v>
      </c>
      <c r="B883" s="5" t="str">
        <f>HYPERLINK("http://www.broadinstitute.org/gsea/msigdb/cards/GOBP_NEGATIVE_REGULATION_OF_TYPE_I_INTERFERON_PRODUCTION.html","GOBP_NEGATIVE_REGULATION_OF_TYPE_I_INTERFERON_PRODUCTION")</f>
        <v>GOBP_NEGATIVE_REGULATION_OF_TYPE_I_INTERFERON_PRODUCTION</v>
      </c>
      <c r="C883" s="4">
        <v>44</v>
      </c>
      <c r="D883" s="3">
        <v>1.7362571</v>
      </c>
      <c r="E883" s="1">
        <v>1.6891892000000001E-3</v>
      </c>
      <c r="F883" s="2">
        <v>1.3118434E-2</v>
      </c>
    </row>
    <row r="884" spans="1:6" x14ac:dyDescent="0.25">
      <c r="A884" t="s">
        <v>8</v>
      </c>
      <c r="B884" s="5" t="str">
        <f>HYPERLINK("http://www.broadinstitute.org/gsea/msigdb/cards/GOMF_MITOGEN_ACTIVATED_PROTEIN_KINASE_BINDING.html","GOMF_MITOGEN_ACTIVATED_PROTEIN_KINASE_BINDING")</f>
        <v>GOMF_MITOGEN_ACTIVATED_PROTEIN_KINASE_BINDING</v>
      </c>
      <c r="C884" s="4">
        <v>32</v>
      </c>
      <c r="D884" s="3">
        <v>1.7360523999999999</v>
      </c>
      <c r="E884" s="1">
        <v>1.7094017E-3</v>
      </c>
      <c r="F884" s="2">
        <v>1.3125625E-2</v>
      </c>
    </row>
    <row r="885" spans="1:6" x14ac:dyDescent="0.25">
      <c r="A885" t="s">
        <v>6</v>
      </c>
      <c r="B885" s="5" t="str">
        <f>HYPERLINK("http://www.broadinstitute.org/gsea/msigdb/cards/GOBP_REGULATION_OF_HEPATOCYTE_PROLIFERATION.html","GOBP_REGULATION_OF_HEPATOCYTE_PROLIFERATION")</f>
        <v>GOBP_REGULATION_OF_HEPATOCYTE_PROLIFERATION</v>
      </c>
      <c r="C885" s="4">
        <v>25</v>
      </c>
      <c r="D885" s="3">
        <v>1.7353673000000001</v>
      </c>
      <c r="E885" s="1">
        <v>3.3444816E-3</v>
      </c>
      <c r="F885" s="2">
        <v>1.3218819E-2</v>
      </c>
    </row>
    <row r="886" spans="1:6" x14ac:dyDescent="0.25">
      <c r="A886" t="s">
        <v>7</v>
      </c>
      <c r="B886" s="5" t="str">
        <f>HYPERLINK("http://www.broadinstitute.org/gsea/msigdb/cards/GOCC_ENDOPLASMIC_RETICULUM_GOLGI_INTERMEDIATE_COMPARTMENT.html","GOCC_ENDOPLASMIC_RETICULUM_GOLGI_INTERMEDIATE_COMPARTMENT")</f>
        <v>GOCC_ENDOPLASMIC_RETICULUM_GOLGI_INTERMEDIATE_COMPARTMENT</v>
      </c>
      <c r="C886" s="4">
        <v>77</v>
      </c>
      <c r="D886" s="3">
        <v>1.7347954999999999</v>
      </c>
      <c r="E886" s="1">
        <v>0</v>
      </c>
      <c r="F886" s="2">
        <v>1.3282297E-2</v>
      </c>
    </row>
    <row r="887" spans="1:6" x14ac:dyDescent="0.25">
      <c r="A887" t="s">
        <v>6</v>
      </c>
      <c r="B887" s="5" t="str">
        <f>HYPERLINK("http://www.broadinstitute.org/gsea/msigdb/cards/GOBP_REGULATION_OF_PEPTIDASE_ACTIVITY.html","GOBP_REGULATION_OF_PEPTIDASE_ACTIVITY")</f>
        <v>GOBP_REGULATION_OF_PEPTIDASE_ACTIVITY</v>
      </c>
      <c r="C887" s="4">
        <v>416</v>
      </c>
      <c r="D887" s="3">
        <v>1.7340418</v>
      </c>
      <c r="E887" s="1">
        <v>0</v>
      </c>
      <c r="F887" s="2">
        <v>1.3381254E-2</v>
      </c>
    </row>
    <row r="888" spans="1:6" x14ac:dyDescent="0.25">
      <c r="A888" t="s">
        <v>6</v>
      </c>
      <c r="B888" s="5" t="str">
        <f>HYPERLINK("http://www.broadinstitute.org/gsea/msigdb/cards/GOBP_NEGATIVE_REGULATION_OF_INTERLEUKIN_17_PRODUCTION.html","GOBP_NEGATIVE_REGULATION_OF_INTERLEUKIN_17_PRODUCTION")</f>
        <v>GOBP_NEGATIVE_REGULATION_OF_INTERLEUKIN_17_PRODUCTION</v>
      </c>
      <c r="C888" s="4">
        <v>19</v>
      </c>
      <c r="D888" s="3">
        <v>1.7337290999999999</v>
      </c>
      <c r="E888" s="1">
        <v>1.0489510000000001E-2</v>
      </c>
      <c r="F888" s="2">
        <v>1.3397996000000001E-2</v>
      </c>
    </row>
    <row r="889" spans="1:6" x14ac:dyDescent="0.25">
      <c r="A889" t="s">
        <v>8</v>
      </c>
      <c r="B889" s="5" t="str">
        <f>HYPERLINK("http://www.broadinstitute.org/gsea/msigdb/cards/GOMF_PHOSPHOLIPID_BINDING.html","GOMF_PHOSPHOLIPID_BINDING")</f>
        <v>GOMF_PHOSPHOLIPID_BINDING</v>
      </c>
      <c r="C889" s="4">
        <v>480</v>
      </c>
      <c r="D889" s="3">
        <v>1.7328466</v>
      </c>
      <c r="E889" s="1">
        <v>0</v>
      </c>
      <c r="F889" s="2">
        <v>1.3499100999999999E-2</v>
      </c>
    </row>
    <row r="890" spans="1:6" x14ac:dyDescent="0.25">
      <c r="A890" t="s">
        <v>5</v>
      </c>
      <c r="B890" s="5" t="str">
        <f>HYPERLINK("http://www.broadinstitute.org/gsea/msigdb/cards/BIOCARTA_CDMAC_PATHWAY.html","BIOCARTA_CDMAC_PATHWAY")</f>
        <v>BIOCARTA_CDMAC_PATHWAY</v>
      </c>
      <c r="C890" s="4">
        <v>15</v>
      </c>
      <c r="D890" s="3">
        <v>1.7322104</v>
      </c>
      <c r="E890" s="1">
        <v>0</v>
      </c>
      <c r="F890" s="2">
        <v>1.3596174000000001E-2</v>
      </c>
    </row>
    <row r="891" spans="1:6" x14ac:dyDescent="0.25">
      <c r="A891" t="s">
        <v>6</v>
      </c>
      <c r="B891" s="5" t="str">
        <f>HYPERLINK("http://www.broadinstitute.org/gsea/msigdb/cards/GOBP_NEGATIVE_REGULATION_OF_MONONUCLEAR_CELL_MIGRATION.html","GOBP_NEGATIVE_REGULATION_OF_MONONUCLEAR_CELL_MIGRATION")</f>
        <v>GOBP_NEGATIVE_REGULATION_OF_MONONUCLEAR_CELL_MIGRATION</v>
      </c>
      <c r="C891" s="4">
        <v>19</v>
      </c>
      <c r="D891" s="3">
        <v>1.7320469999999999</v>
      </c>
      <c r="E891" s="1">
        <v>5.1457975000000003E-3</v>
      </c>
      <c r="F891" s="2">
        <v>1.3602828000000001E-2</v>
      </c>
    </row>
    <row r="892" spans="1:6" x14ac:dyDescent="0.25">
      <c r="A892" t="s">
        <v>6</v>
      </c>
      <c r="B892" s="5" t="str">
        <f>HYPERLINK("http://www.broadinstitute.org/gsea/msigdb/cards/GOBP_POSITIVE_REGULATION_OF_CYSTEINE_TYPE_ENDOPEPTIDASE_ACTIVITY.html","GOBP_POSITIVE_REGULATION_OF_CYSTEINE_TYPE_ENDOPEPTIDASE_ACTIVITY")</f>
        <v>GOBP_POSITIVE_REGULATION_OF_CYSTEINE_TYPE_ENDOPEPTIDASE_ACTIVITY</v>
      </c>
      <c r="C892" s="4">
        <v>146</v>
      </c>
      <c r="D892" s="3">
        <v>1.7315290999999999</v>
      </c>
      <c r="E892" s="1">
        <v>0</v>
      </c>
      <c r="F892" s="2">
        <v>1.3669272999999999E-2</v>
      </c>
    </row>
    <row r="893" spans="1:6" x14ac:dyDescent="0.25">
      <c r="A893" t="s">
        <v>7</v>
      </c>
      <c r="B893" s="5" t="str">
        <f>HYPERLINK("http://www.broadinstitute.org/gsea/msigdb/cards/GOCC_HIGH_DENSITY_LIPOPROTEIN_PARTICLE.html","GOCC_HIGH_DENSITY_LIPOPROTEIN_PARTICLE")</f>
        <v>GOCC_HIGH_DENSITY_LIPOPROTEIN_PARTICLE</v>
      </c>
      <c r="C893" s="4">
        <v>34</v>
      </c>
      <c r="D893" s="3">
        <v>1.7312863000000001</v>
      </c>
      <c r="E893" s="1">
        <v>3.3222590000000001E-3</v>
      </c>
      <c r="F893" s="2">
        <v>1.3692832E-2</v>
      </c>
    </row>
    <row r="894" spans="1:6" x14ac:dyDescent="0.25">
      <c r="A894" t="s">
        <v>10</v>
      </c>
      <c r="B894" s="5" t="str">
        <f>HYPERLINK("http://www.broadinstitute.org/gsea/msigdb/cards/REACTOME_CDC42_GTPASE_CYCLE.html","REACTOME_CDC42_GTPASE_CYCLE")</f>
        <v>REACTOME_CDC42_GTPASE_CYCLE</v>
      </c>
      <c r="C894" s="4">
        <v>93</v>
      </c>
      <c r="D894" s="3">
        <v>1.7293225999999999</v>
      </c>
      <c r="E894" s="1">
        <v>0</v>
      </c>
      <c r="F894" s="2">
        <v>1.3928935E-2</v>
      </c>
    </row>
    <row r="895" spans="1:6" x14ac:dyDescent="0.25">
      <c r="A895" t="s">
        <v>6</v>
      </c>
      <c r="B895" s="5" t="str">
        <f>HYPERLINK("http://www.broadinstitute.org/gsea/msigdb/cards/GOBP_NEGATIVE_REGULATION_OF_VIRAL_INDUCED_CYTOPLASMIC_PATTERN_RECOGNITION_RECEPTOR_SIGNALING_PATHWAY.html","GOBP_NEGATIVE_REGULATION_OF_VIRAL_INDUCED_CYTOPLASMIC_PATTERN_RECOGNITION_RECEPTOR_SIGNALING_PATHWAY")</f>
        <v>GOBP_NEGATIVE_REGULATION_OF_VIRAL_INDUCED_CYTOPLASMIC_PATTERN_RECOGNITION_RECEPTOR_SIGNALING_PATHWAY</v>
      </c>
      <c r="C895" s="4">
        <v>35</v>
      </c>
      <c r="D895" s="3">
        <v>1.7278519999999999</v>
      </c>
      <c r="E895" s="1">
        <v>3.3670033E-3</v>
      </c>
      <c r="F895" s="2">
        <v>1.4162159000000001E-2</v>
      </c>
    </row>
    <row r="896" spans="1:6" x14ac:dyDescent="0.25">
      <c r="A896" t="s">
        <v>6</v>
      </c>
      <c r="B896" s="5" t="str">
        <f>HYPERLINK("http://www.broadinstitute.org/gsea/msigdb/cards/GOBP_TRANSFORMING_GROWTH_FACTOR_BETA_PRODUCTION.html","GOBP_TRANSFORMING_GROWTH_FACTOR_BETA_PRODUCTION")</f>
        <v>GOBP_TRANSFORMING_GROWTH_FACTOR_BETA_PRODUCTION</v>
      </c>
      <c r="C896" s="4">
        <v>42</v>
      </c>
      <c r="D896" s="3">
        <v>1.7276312</v>
      </c>
      <c r="E896" s="1">
        <v>3.1545741999999999E-3</v>
      </c>
      <c r="F896" s="2">
        <v>1.4181449E-2</v>
      </c>
    </row>
    <row r="897" spans="1:6" x14ac:dyDescent="0.25">
      <c r="A897" t="s">
        <v>6</v>
      </c>
      <c r="B897" s="5" t="str">
        <f>HYPERLINK("http://www.broadinstitute.org/gsea/msigdb/cards/GOBP_POSITIVE_REGULATION_OF_PROTEIN_CONTAINING_COMPLEX_ASSEMBLY.html","GOBP_POSITIVE_REGULATION_OF_PROTEIN_CONTAINING_COMPLEX_ASSEMBLY")</f>
        <v>GOBP_POSITIVE_REGULATION_OF_PROTEIN_CONTAINING_COMPLEX_ASSEMBLY</v>
      </c>
      <c r="C897" s="4">
        <v>206</v>
      </c>
      <c r="D897" s="3">
        <v>1.7273438999999999</v>
      </c>
      <c r="E897" s="1">
        <v>0</v>
      </c>
      <c r="F897" s="2">
        <v>1.4209153E-2</v>
      </c>
    </row>
    <row r="898" spans="1:6" x14ac:dyDescent="0.25">
      <c r="A898" t="s">
        <v>6</v>
      </c>
      <c r="B898" s="5" t="str">
        <f>HYPERLINK("http://www.broadinstitute.org/gsea/msigdb/cards/GOBP_POSITIVE_REGULATION_OF_ACUTE_INFLAMMATORY_RESPONSE_TO_ANTIGENIC_STIMULUS.html","GOBP_POSITIVE_REGULATION_OF_ACUTE_INFLAMMATORY_RESPONSE_TO_ANTIGENIC_STIMULUS")</f>
        <v>GOBP_POSITIVE_REGULATION_OF_ACUTE_INFLAMMATORY_RESPONSE_TO_ANTIGENIC_STIMULUS</v>
      </c>
      <c r="C898" s="4">
        <v>24</v>
      </c>
      <c r="D898" s="3">
        <v>1.7269844000000001</v>
      </c>
      <c r="E898" s="1">
        <v>5.1993066000000001E-3</v>
      </c>
      <c r="F898" s="2">
        <v>1.4255001E-2</v>
      </c>
    </row>
    <row r="899" spans="1:6" x14ac:dyDescent="0.25">
      <c r="A899" t="s">
        <v>10</v>
      </c>
      <c r="B899" s="5" t="str">
        <f>HYPERLINK("http://www.broadinstitute.org/gsea/msigdb/cards/REACTOME_GAB1_SIGNALOSOME.html","REACTOME_GAB1_SIGNALOSOME")</f>
        <v>REACTOME_GAB1_SIGNALOSOME</v>
      </c>
      <c r="C899" s="4">
        <v>17</v>
      </c>
      <c r="D899" s="3">
        <v>1.7264508999999999</v>
      </c>
      <c r="E899" s="1">
        <v>6.7340066000000001E-3</v>
      </c>
      <c r="F899" s="2">
        <v>1.4321265999999999E-2</v>
      </c>
    </row>
    <row r="900" spans="1:6" x14ac:dyDescent="0.25">
      <c r="A900" t="s">
        <v>6</v>
      </c>
      <c r="B900" s="5" t="str">
        <f>HYPERLINK("http://www.broadinstitute.org/gsea/msigdb/cards/GOBP_LIPID_LOCALIZATION.html","GOBP_LIPID_LOCALIZATION")</f>
        <v>GOBP_LIPID_LOCALIZATION</v>
      </c>
      <c r="C900" s="4">
        <v>483</v>
      </c>
      <c r="D900" s="3">
        <v>1.7248714000000001</v>
      </c>
      <c r="E900" s="1">
        <v>0</v>
      </c>
      <c r="F900" s="2">
        <v>1.4549392E-2</v>
      </c>
    </row>
    <row r="901" spans="1:6" x14ac:dyDescent="0.25">
      <c r="A901" t="s">
        <v>6</v>
      </c>
      <c r="B901" s="5" t="str">
        <f>HYPERLINK("http://www.broadinstitute.org/gsea/msigdb/cards/GOBP_INTEGRATED_STRESS_RESPONSE_SIGNALING.html","GOBP_INTEGRATED_STRESS_RESPONSE_SIGNALING")</f>
        <v>GOBP_INTEGRATED_STRESS_RESPONSE_SIGNALING</v>
      </c>
      <c r="C901" s="4">
        <v>21</v>
      </c>
      <c r="D901" s="3">
        <v>1.7239203000000001</v>
      </c>
      <c r="E901" s="1">
        <v>1.1884550000000001E-2</v>
      </c>
      <c r="F901" s="2">
        <v>1.4697242500000001E-2</v>
      </c>
    </row>
    <row r="902" spans="1:6" x14ac:dyDescent="0.25">
      <c r="A902" t="s">
        <v>7</v>
      </c>
      <c r="B902" s="5" t="str">
        <f>HYPERLINK("http://www.broadinstitute.org/gsea/msigdb/cards/GOCC_PEPTIDASE_INHIBITOR_COMPLEX.html","GOCC_PEPTIDASE_INHIBITOR_COMPLEX")</f>
        <v>GOCC_PEPTIDASE_INHIBITOR_COMPLEX</v>
      </c>
      <c r="C902" s="4">
        <v>23</v>
      </c>
      <c r="D902" s="3">
        <v>1.7237591999999999</v>
      </c>
      <c r="E902" s="1">
        <v>3.4188033999999999E-3</v>
      </c>
      <c r="F902" s="2">
        <v>1.4709850999999999E-2</v>
      </c>
    </row>
    <row r="903" spans="1:6" x14ac:dyDescent="0.25">
      <c r="A903" t="s">
        <v>6</v>
      </c>
      <c r="B903" s="5" t="str">
        <f>HYPERLINK("http://www.broadinstitute.org/gsea/msigdb/cards/GOBP_TOLL_LIKE_RECEPTOR_2_SIGNALING_PATHWAY.html","GOBP_TOLL_LIKE_RECEPTOR_2_SIGNALING_PATHWAY")</f>
        <v>GOBP_TOLL_LIKE_RECEPTOR_2_SIGNALING_PATHWAY</v>
      </c>
      <c r="C903" s="4">
        <v>17</v>
      </c>
      <c r="D903" s="3">
        <v>1.7236539</v>
      </c>
      <c r="E903" s="1">
        <v>1.0362694E-2</v>
      </c>
      <c r="F903" s="2">
        <v>1.4707954000000001E-2</v>
      </c>
    </row>
    <row r="904" spans="1:6" x14ac:dyDescent="0.25">
      <c r="A904" t="s">
        <v>6</v>
      </c>
      <c r="B904" s="5" t="str">
        <f>HYPERLINK("http://www.broadinstitute.org/gsea/msigdb/cards/GOBP_EOSINOPHIL_MIGRATION.html","GOBP_EOSINOPHIL_MIGRATION")</f>
        <v>GOBP_EOSINOPHIL_MIGRATION</v>
      </c>
      <c r="C904" s="4">
        <v>24</v>
      </c>
      <c r="D904" s="3">
        <v>1.7234666000000001</v>
      </c>
      <c r="E904" s="1">
        <v>3.3670033E-3</v>
      </c>
      <c r="F904" s="2">
        <v>1.4715689000000001E-2</v>
      </c>
    </row>
    <row r="905" spans="1:6" x14ac:dyDescent="0.25">
      <c r="A905" t="s">
        <v>11</v>
      </c>
      <c r="B905" s="5" t="str">
        <f>HYPERLINK("http://www.broadinstitute.org/gsea/msigdb/cards/WP_TGF_BETA_SIGNALING_PATHWAY.html","WP_TGF_BETA_SIGNALING_PATHWAY")</f>
        <v>WP_TGF_BETA_SIGNALING_PATHWAY</v>
      </c>
      <c r="C905" s="4">
        <v>52</v>
      </c>
      <c r="D905" s="3">
        <v>1.7234240000000001</v>
      </c>
      <c r="E905" s="1">
        <v>3.2626427999999999E-3</v>
      </c>
      <c r="F905" s="2">
        <v>1.4702982E-2</v>
      </c>
    </row>
    <row r="906" spans="1:6" x14ac:dyDescent="0.25">
      <c r="A906" t="s">
        <v>10</v>
      </c>
      <c r="B906" s="5" t="str">
        <f>HYPERLINK("http://www.broadinstitute.org/gsea/msigdb/cards/REACTOME_PLATELET_HOMEOSTASIS.html","REACTOME_PLATELET_HOMEOSTASIS")</f>
        <v>REACTOME_PLATELET_HOMEOSTASIS</v>
      </c>
      <c r="C906" s="4">
        <v>74</v>
      </c>
      <c r="D906" s="3">
        <v>1.7230905999999999</v>
      </c>
      <c r="E906" s="1">
        <v>1.5898251E-3</v>
      </c>
      <c r="F906" s="2">
        <v>1.4738345E-2</v>
      </c>
    </row>
    <row r="907" spans="1:6" x14ac:dyDescent="0.25">
      <c r="A907" t="s">
        <v>6</v>
      </c>
      <c r="B907" s="5" t="str">
        <f>HYPERLINK("http://www.broadinstitute.org/gsea/msigdb/cards/GOBP_POSITIVE_REGULATION_OF_MONOCYTE_CHEMOTACTIC_PROTEIN_1_PRODUCTION.html","GOBP_POSITIVE_REGULATION_OF_MONOCYTE_CHEMOTACTIC_PROTEIN_1_PRODUCTION")</f>
        <v>GOBP_POSITIVE_REGULATION_OF_MONOCYTE_CHEMOTACTIC_PROTEIN_1_PRODUCTION</v>
      </c>
      <c r="C907" s="4">
        <v>20</v>
      </c>
      <c r="D907" s="3">
        <v>1.7226398999999999</v>
      </c>
      <c r="E907" s="1">
        <v>8.4745759999999993E-3</v>
      </c>
      <c r="F907" s="2">
        <v>1.4800021E-2</v>
      </c>
    </row>
    <row r="908" spans="1:6" x14ac:dyDescent="0.25">
      <c r="A908" t="s">
        <v>6</v>
      </c>
      <c r="B908" s="5" t="str">
        <f>HYPERLINK("http://www.broadinstitute.org/gsea/msigdb/cards/GOBP_REGULATION_OF_SMALL_GTPASE_MEDIATED_SIGNAL_TRANSDUCTION.html","GOBP_REGULATION_OF_SMALL_GTPASE_MEDIATED_SIGNAL_TRANSDUCTION")</f>
        <v>GOBP_REGULATION_OF_SMALL_GTPASE_MEDIATED_SIGNAL_TRANSDUCTION</v>
      </c>
      <c r="C908" s="4">
        <v>228</v>
      </c>
      <c r="D908" s="3">
        <v>1.7221223000000001</v>
      </c>
      <c r="E908" s="1">
        <v>0</v>
      </c>
      <c r="F908" s="2">
        <v>1.4856649E-2</v>
      </c>
    </row>
    <row r="909" spans="1:6" x14ac:dyDescent="0.25">
      <c r="A909" t="s">
        <v>6</v>
      </c>
      <c r="B909" s="5" t="str">
        <f>HYPERLINK("http://www.broadinstitute.org/gsea/msigdb/cards/GOBP_NATURAL_KILLER_CELL_PROLIFERATION.html","GOBP_NATURAL_KILLER_CELL_PROLIFERATION")</f>
        <v>GOBP_NATURAL_KILLER_CELL_PROLIFERATION</v>
      </c>
      <c r="C909" s="4">
        <v>29</v>
      </c>
      <c r="D909" s="3">
        <v>1.7221119</v>
      </c>
      <c r="E909" s="1">
        <v>0</v>
      </c>
      <c r="F909" s="2">
        <v>1.4841464E-2</v>
      </c>
    </row>
    <row r="910" spans="1:6" x14ac:dyDescent="0.25">
      <c r="A910" t="s">
        <v>6</v>
      </c>
      <c r="B910" s="5" t="str">
        <f>HYPERLINK("http://www.broadinstitute.org/gsea/msigdb/cards/GOBP_ARP2_3_COMPLEX_MEDIATED_ACTIN_NUCLEATION.html","GOBP_ARP2_3_COMPLEX_MEDIATED_ACTIN_NUCLEATION")</f>
        <v>GOBP_ARP2_3_COMPLEX_MEDIATED_ACTIN_NUCLEATION</v>
      </c>
      <c r="C910" s="4">
        <v>41</v>
      </c>
      <c r="D910" s="3">
        <v>1.721427</v>
      </c>
      <c r="E910" s="1">
        <v>3.3500837E-3</v>
      </c>
      <c r="F910" s="2">
        <v>1.4933762E-2</v>
      </c>
    </row>
    <row r="911" spans="1:6" x14ac:dyDescent="0.25">
      <c r="A911" t="s">
        <v>10</v>
      </c>
      <c r="B911" s="5" t="str">
        <f>HYPERLINK("http://www.broadinstitute.org/gsea/msigdb/cards/REACTOME_GOLGI_ASSOCIATED_VESICLE_BIOGENESIS.html","REACTOME_GOLGI_ASSOCIATED_VESICLE_BIOGENESIS")</f>
        <v>REACTOME_GOLGI_ASSOCIATED_VESICLE_BIOGENESIS</v>
      </c>
      <c r="C911" s="4">
        <v>54</v>
      </c>
      <c r="D911" s="3">
        <v>1.7210398</v>
      </c>
      <c r="E911" s="1">
        <v>3.1645570000000001E-3</v>
      </c>
      <c r="F911" s="2">
        <v>1.4986630500000001E-2</v>
      </c>
    </row>
    <row r="912" spans="1:6" x14ac:dyDescent="0.25">
      <c r="A912" t="s">
        <v>6</v>
      </c>
      <c r="B912" s="5" t="str">
        <f>HYPERLINK("http://www.broadinstitute.org/gsea/msigdb/cards/GOBP_REGULATION_OF_VASCULAR_PERMEABILITY.html","GOBP_REGULATION_OF_VASCULAR_PERMEABILITY")</f>
        <v>GOBP_REGULATION_OF_VASCULAR_PERMEABILITY</v>
      </c>
      <c r="C912" s="4">
        <v>47</v>
      </c>
      <c r="D912" s="3">
        <v>1.7208188</v>
      </c>
      <c r="E912" s="1">
        <v>0</v>
      </c>
      <c r="F912" s="2">
        <v>1.4998765000000001E-2</v>
      </c>
    </row>
    <row r="913" spans="1:6" x14ac:dyDescent="0.25">
      <c r="A913" t="s">
        <v>10</v>
      </c>
      <c r="B913" s="5" t="str">
        <f>HYPERLINK("http://www.broadinstitute.org/gsea/msigdb/cards/REACTOME_SIGNALING_BY_HIPPO.html","REACTOME_SIGNALING_BY_HIPPO")</f>
        <v>REACTOME_SIGNALING_BY_HIPPO</v>
      </c>
      <c r="C913" s="4">
        <v>20</v>
      </c>
      <c r="D913" s="3">
        <v>1.7207577000000001</v>
      </c>
      <c r="E913" s="1">
        <v>5.2910049999999997E-3</v>
      </c>
      <c r="F913" s="2">
        <v>1.4989463999999999E-2</v>
      </c>
    </row>
    <row r="914" spans="1:6" x14ac:dyDescent="0.25">
      <c r="A914" t="s">
        <v>6</v>
      </c>
      <c r="B914" s="5" t="str">
        <f>HYPERLINK("http://www.broadinstitute.org/gsea/msigdb/cards/GOBP_POSITIVE_REGULATION_OF_RECEPTOR_SIGNALING_PATHWAY_VIA_STAT.html","GOBP_POSITIVE_REGULATION_OF_RECEPTOR_SIGNALING_PATHWAY_VIA_STAT")</f>
        <v>GOBP_POSITIVE_REGULATION_OF_RECEPTOR_SIGNALING_PATHWAY_VIA_STAT</v>
      </c>
      <c r="C914" s="4">
        <v>54</v>
      </c>
      <c r="D914" s="3">
        <v>1.7205786999999999</v>
      </c>
      <c r="E914" s="1">
        <v>3.2573289000000002E-3</v>
      </c>
      <c r="F914" s="2">
        <v>1.49932355E-2</v>
      </c>
    </row>
    <row r="915" spans="1:6" x14ac:dyDescent="0.25">
      <c r="A915" t="s">
        <v>6</v>
      </c>
      <c r="B915" s="5" t="str">
        <f>HYPERLINK("http://www.broadinstitute.org/gsea/msigdb/cards/GOBP_PROTEIN_AUTOPROCESSING.html","GOBP_PROTEIN_AUTOPROCESSING")</f>
        <v>GOBP_PROTEIN_AUTOPROCESSING</v>
      </c>
      <c r="C915" s="4">
        <v>26</v>
      </c>
      <c r="D915" s="3">
        <v>1.7198609</v>
      </c>
      <c r="E915" s="1">
        <v>3.3557047E-3</v>
      </c>
      <c r="F915" s="2">
        <v>1.5107519E-2</v>
      </c>
    </row>
    <row r="916" spans="1:6" x14ac:dyDescent="0.25">
      <c r="A916" t="s">
        <v>6</v>
      </c>
      <c r="B916" s="5" t="str">
        <f>HYPERLINK("http://www.broadinstitute.org/gsea/msigdb/cards/GOBP_CELL_SUBSTRATE_JUNCTION_ORGANIZATION.html","GOBP_CELL_SUBSTRATE_JUNCTION_ORGANIZATION")</f>
        <v>GOBP_CELL_SUBSTRATE_JUNCTION_ORGANIZATION</v>
      </c>
      <c r="C916" s="4">
        <v>105</v>
      </c>
      <c r="D916" s="3">
        <v>1.7196788000000001</v>
      </c>
      <c r="E916" s="1">
        <v>0</v>
      </c>
      <c r="F916" s="2">
        <v>1.5118296999999999E-2</v>
      </c>
    </row>
    <row r="917" spans="1:6" x14ac:dyDescent="0.25">
      <c r="A917" t="s">
        <v>10</v>
      </c>
      <c r="B917" s="5" t="str">
        <f>HYPERLINK("http://www.broadinstitute.org/gsea/msigdb/cards/REACTOME_ACTIVATION_OF_IRF3_IRF7_MEDIATED_BY_TBK1_IKBKE.html","REACTOME_ACTIVATION_OF_IRF3_IRF7_MEDIATED_BY_TBK1_IKBKE")</f>
        <v>REACTOME_ACTIVATION_OF_IRF3_IRF7_MEDIATED_BY_TBK1_IKBKE</v>
      </c>
      <c r="C917" s="4">
        <v>17</v>
      </c>
      <c r="D917" s="3">
        <v>1.7190627000000001</v>
      </c>
      <c r="E917" s="1">
        <v>5.1724140000000002E-3</v>
      </c>
      <c r="F917" s="2">
        <v>1.5227539999999999E-2</v>
      </c>
    </row>
    <row r="918" spans="1:6" x14ac:dyDescent="0.25">
      <c r="A918" t="s">
        <v>11</v>
      </c>
      <c r="B918" s="5" t="str">
        <f>HYPERLINK("http://www.broadinstitute.org/gsea/msigdb/cards/WP_IL_9_SIGNALING_PATHWAY.html","WP_IL_9_SIGNALING_PATHWAY")</f>
        <v>WP_IL_9_SIGNALING_PATHWAY</v>
      </c>
      <c r="C918" s="4">
        <v>23</v>
      </c>
      <c r="D918" s="3">
        <v>1.7189976</v>
      </c>
      <c r="E918" s="1">
        <v>6.9565219999999997E-3</v>
      </c>
      <c r="F918" s="2">
        <v>1.5216781E-2</v>
      </c>
    </row>
    <row r="919" spans="1:6" x14ac:dyDescent="0.25">
      <c r="A919" t="s">
        <v>6</v>
      </c>
      <c r="B919" s="5" t="str">
        <f>HYPERLINK("http://www.broadinstitute.org/gsea/msigdb/cards/GOBP_POSITIVE_REGULATION_OF_LIPID_KINASE_ACTIVITY.html","GOBP_POSITIVE_REGULATION_OF_LIPID_KINASE_ACTIVITY")</f>
        <v>GOBP_POSITIVE_REGULATION_OF_LIPID_KINASE_ACTIVITY</v>
      </c>
      <c r="C919" s="4">
        <v>21</v>
      </c>
      <c r="D919" s="3">
        <v>1.7186853</v>
      </c>
      <c r="E919" s="1">
        <v>8.8028169999999992E-3</v>
      </c>
      <c r="F919" s="2">
        <v>1.5258027E-2</v>
      </c>
    </row>
    <row r="920" spans="1:6" x14ac:dyDescent="0.25">
      <c r="A920" t="s">
        <v>8</v>
      </c>
      <c r="B920" s="5" t="str">
        <f>HYPERLINK("http://www.broadinstitute.org/gsea/msigdb/cards/GOMF_ATPASE_COUPLED_INTRAMEMBRANE_LIPID_TRANSPORTER_ACTIVITY.html","GOMF_ATPASE_COUPLED_INTRAMEMBRANE_LIPID_TRANSPORTER_ACTIVITY")</f>
        <v>GOMF_ATPASE_COUPLED_INTRAMEMBRANE_LIPID_TRANSPORTER_ACTIVITY</v>
      </c>
      <c r="C920" s="4">
        <v>28</v>
      </c>
      <c r="D920" s="3">
        <v>1.7183759999999999</v>
      </c>
      <c r="E920" s="1">
        <v>8.4889639999999999E-3</v>
      </c>
      <c r="F920" s="2">
        <v>1.5288644000000001E-2</v>
      </c>
    </row>
    <row r="921" spans="1:6" x14ac:dyDescent="0.25">
      <c r="A921" t="s">
        <v>8</v>
      </c>
      <c r="B921" s="5" t="str">
        <f>HYPERLINK("http://www.broadinstitute.org/gsea/msigdb/cards/GOMF_GLYCOSAMINOGLYCAN_BINDING.html","GOMF_GLYCOSAMINOGLYCAN_BINDING")</f>
        <v>GOMF_GLYCOSAMINOGLYCAN_BINDING</v>
      </c>
      <c r="C921" s="4">
        <v>225</v>
      </c>
      <c r="D921" s="3">
        <v>1.7183541</v>
      </c>
      <c r="E921" s="1">
        <v>0</v>
      </c>
      <c r="F921" s="2">
        <v>1.5277921E-2</v>
      </c>
    </row>
    <row r="922" spans="1:6" x14ac:dyDescent="0.25">
      <c r="A922" t="s">
        <v>10</v>
      </c>
      <c r="B922" s="5" t="str">
        <f>HYPERLINK("http://www.broadinstitute.org/gsea/msigdb/cards/REACTOME_MAPK_TARGETS_NUCLEAR_EVENTS_MEDIATED_BY_MAP_KINASES.html","REACTOME_MAPK_TARGETS_NUCLEAR_EVENTS_MEDIATED_BY_MAP_KINASES")</f>
        <v>REACTOME_MAPK_TARGETS_NUCLEAR_EVENTS_MEDIATED_BY_MAP_KINASES</v>
      </c>
      <c r="C922" s="4">
        <v>28</v>
      </c>
      <c r="D922" s="3">
        <v>1.7161869999999999</v>
      </c>
      <c r="E922" s="1">
        <v>0</v>
      </c>
      <c r="F922" s="2">
        <v>1.5605053000000001E-2</v>
      </c>
    </row>
    <row r="923" spans="1:6" x14ac:dyDescent="0.25">
      <c r="A923" t="s">
        <v>6</v>
      </c>
      <c r="B923" s="5" t="str">
        <f>HYPERLINK("http://www.broadinstitute.org/gsea/msigdb/cards/GOBP_REGULATION_OF_CYSTEINE_TYPE_ENDOPEPTIDASE_ACTIVITY.html","GOBP_REGULATION_OF_CYSTEINE_TYPE_ENDOPEPTIDASE_ACTIVITY")</f>
        <v>GOBP_REGULATION_OF_CYSTEINE_TYPE_ENDOPEPTIDASE_ACTIVITY</v>
      </c>
      <c r="C923" s="4">
        <v>232</v>
      </c>
      <c r="D923" s="3">
        <v>1.7155414</v>
      </c>
      <c r="E923" s="1">
        <v>0</v>
      </c>
      <c r="F923" s="2">
        <v>1.5694208000000001E-2</v>
      </c>
    </row>
    <row r="924" spans="1:6" x14ac:dyDescent="0.25">
      <c r="A924" t="s">
        <v>6</v>
      </c>
      <c r="B924" s="5" t="str">
        <f>HYPERLINK("http://www.broadinstitute.org/gsea/msigdb/cards/GOBP_POSITIVE_REGULATION_OF_NATURAL_KILLER_CELL_MEDIATED_IMMUNITY.html","GOBP_POSITIVE_REGULATION_OF_NATURAL_KILLER_CELL_MEDIATED_IMMUNITY")</f>
        <v>GOBP_POSITIVE_REGULATION_OF_NATURAL_KILLER_CELL_MEDIATED_IMMUNITY</v>
      </c>
      <c r="C924" s="4">
        <v>48</v>
      </c>
      <c r="D924" s="3">
        <v>1.7154399</v>
      </c>
      <c r="E924" s="1">
        <v>1.6286644000000001E-3</v>
      </c>
      <c r="F924" s="2">
        <v>1.5700726000000002E-2</v>
      </c>
    </row>
    <row r="925" spans="1:6" x14ac:dyDescent="0.25">
      <c r="A925" t="s">
        <v>6</v>
      </c>
      <c r="B925" s="5" t="str">
        <f>HYPERLINK("http://www.broadinstitute.org/gsea/msigdb/cards/GOBP_CELLULAR_RESPONSE_TO_OXIDATIVE_STRESS.html","GOBP_CELLULAR_RESPONSE_TO_OXIDATIVE_STRESS")</f>
        <v>GOBP_CELLULAR_RESPONSE_TO_OXIDATIVE_STRESS</v>
      </c>
      <c r="C925" s="4">
        <v>237</v>
      </c>
      <c r="D925" s="3">
        <v>1.7149519</v>
      </c>
      <c r="E925" s="1">
        <v>0</v>
      </c>
      <c r="F925" s="2">
        <v>1.5776350000000001E-2</v>
      </c>
    </row>
    <row r="926" spans="1:6" x14ac:dyDescent="0.25">
      <c r="A926" t="s">
        <v>8</v>
      </c>
      <c r="B926" s="5" t="str">
        <f>HYPERLINK("http://www.broadinstitute.org/gsea/msigdb/cards/GOMF_GTPASE_ACTIVATOR_ACTIVITY.html","GOMF_GTPASE_ACTIVATOR_ACTIVITY")</f>
        <v>GOMF_GTPASE_ACTIVATOR_ACTIVITY</v>
      </c>
      <c r="C926" s="4">
        <v>237</v>
      </c>
      <c r="D926" s="3">
        <v>1.7148234</v>
      </c>
      <c r="E926" s="1">
        <v>0</v>
      </c>
      <c r="F926" s="2">
        <v>1.5778132E-2</v>
      </c>
    </row>
    <row r="927" spans="1:6" x14ac:dyDescent="0.25">
      <c r="A927" t="s">
        <v>8</v>
      </c>
      <c r="B927" s="5" t="str">
        <f>HYPERLINK("http://www.broadinstitute.org/gsea/msigdb/cards/GOMF_SH2_DOMAIN_BINDING.html","GOMF_SH2_DOMAIN_BINDING")</f>
        <v>GOMF_SH2_DOMAIN_BINDING</v>
      </c>
      <c r="C927" s="4">
        <v>45</v>
      </c>
      <c r="D927" s="3">
        <v>1.7139412999999999</v>
      </c>
      <c r="E927" s="1">
        <v>0</v>
      </c>
      <c r="F927" s="2">
        <v>1.5927690000000001E-2</v>
      </c>
    </row>
    <row r="928" spans="1:6" x14ac:dyDescent="0.25">
      <c r="A928" t="s">
        <v>6</v>
      </c>
      <c r="B928" s="5" t="str">
        <f>HYPERLINK("http://www.broadinstitute.org/gsea/msigdb/cards/GOBP_NEGATIVE_REGULATION_OF_BONE_MINERALIZATION.html","GOBP_NEGATIVE_REGULATION_OF_BONE_MINERALIZATION")</f>
        <v>GOBP_NEGATIVE_REGULATION_OF_BONE_MINERALIZATION</v>
      </c>
      <c r="C928" s="4">
        <v>17</v>
      </c>
      <c r="D928" s="3">
        <v>1.7138207000000001</v>
      </c>
      <c r="E928" s="1">
        <v>5.0590219999999998E-3</v>
      </c>
      <c r="F928" s="2">
        <v>1.5925704999999998E-2</v>
      </c>
    </row>
    <row r="929" spans="1:6" x14ac:dyDescent="0.25">
      <c r="A929" t="s">
        <v>6</v>
      </c>
      <c r="B929" s="5" t="str">
        <f>HYPERLINK("http://www.broadinstitute.org/gsea/msigdb/cards/GOBP_NEUTROPHIL_HOMEOSTASIS.html","GOBP_NEUTROPHIL_HOMEOSTASIS")</f>
        <v>GOBP_NEUTROPHIL_HOMEOSTASIS</v>
      </c>
      <c r="C929" s="4">
        <v>32</v>
      </c>
      <c r="D929" s="3">
        <v>1.7137340000000001</v>
      </c>
      <c r="E929" s="1">
        <v>3.1948880999999999E-3</v>
      </c>
      <c r="F929" s="2">
        <v>1.5917838E-2</v>
      </c>
    </row>
    <row r="930" spans="1:6" x14ac:dyDescent="0.25">
      <c r="A930" t="s">
        <v>6</v>
      </c>
      <c r="B930" s="5" t="str">
        <f>HYPERLINK("http://www.broadinstitute.org/gsea/msigdb/cards/GOBP_POSITIVE_REGULATION_OF_MACROAUTOPHAGY.html","GOBP_POSITIVE_REGULATION_OF_MACROAUTOPHAGY")</f>
        <v>GOBP_POSITIVE_REGULATION_OF_MACROAUTOPHAGY</v>
      </c>
      <c r="C930" s="4">
        <v>77</v>
      </c>
      <c r="D930" s="3">
        <v>1.7135023</v>
      </c>
      <c r="E930" s="1">
        <v>1.55521E-3</v>
      </c>
      <c r="F930" s="2">
        <v>1.5938114E-2</v>
      </c>
    </row>
    <row r="931" spans="1:6" x14ac:dyDescent="0.25">
      <c r="A931" t="s">
        <v>11</v>
      </c>
      <c r="B931" s="5" t="str">
        <f>HYPERLINK("http://www.broadinstitute.org/gsea/msigdb/cards/WP_GPCRS_NON_ODORANT.html","WP_GPCRS_NON_ODORANT")</f>
        <v>WP_GPCRS_NON_ODORANT</v>
      </c>
      <c r="C931" s="4">
        <v>244</v>
      </c>
      <c r="D931" s="3">
        <v>1.7130232999999999</v>
      </c>
      <c r="E931" s="1">
        <v>0</v>
      </c>
      <c r="F931" s="2">
        <v>1.6020217999999999E-2</v>
      </c>
    </row>
    <row r="932" spans="1:6" x14ac:dyDescent="0.25">
      <c r="A932" t="s">
        <v>6</v>
      </c>
      <c r="B932" s="5" t="str">
        <f>HYPERLINK("http://www.broadinstitute.org/gsea/msigdb/cards/GOBP_REGULATION_OF_PROTEIN_TYROSINE_KINASE_ACTIVITY.html","GOBP_REGULATION_OF_PROTEIN_TYROSINE_KINASE_ACTIVITY")</f>
        <v>GOBP_REGULATION_OF_PROTEIN_TYROSINE_KINASE_ACTIVITY</v>
      </c>
      <c r="C932" s="4">
        <v>70</v>
      </c>
      <c r="D932" s="3">
        <v>1.7129823</v>
      </c>
      <c r="E932" s="1">
        <v>0</v>
      </c>
      <c r="F932" s="2">
        <v>1.6009961999999999E-2</v>
      </c>
    </row>
    <row r="933" spans="1:6" x14ac:dyDescent="0.25">
      <c r="A933" t="s">
        <v>7</v>
      </c>
      <c r="B933" s="5" t="str">
        <f>HYPERLINK("http://www.broadinstitute.org/gsea/msigdb/cards/GOCC_RETROMER_COMPLEX.html","GOCC_RETROMER_COMPLEX")</f>
        <v>GOCC_RETROMER_COMPLEX</v>
      </c>
      <c r="C933" s="4">
        <v>20</v>
      </c>
      <c r="D933" s="3">
        <v>1.7109259000000001</v>
      </c>
      <c r="E933" s="1">
        <v>1.2237761999999999E-2</v>
      </c>
      <c r="F933" s="2">
        <v>1.6351498999999999E-2</v>
      </c>
    </row>
    <row r="934" spans="1:6" x14ac:dyDescent="0.25">
      <c r="A934" t="s">
        <v>6</v>
      </c>
      <c r="B934" s="5" t="str">
        <f>HYPERLINK("http://www.broadinstitute.org/gsea/msigdb/cards/GOBP_INTEGRIN_ACTIVATION.html","GOBP_INTEGRIN_ACTIVATION")</f>
        <v>GOBP_INTEGRIN_ACTIVATION</v>
      </c>
      <c r="C934" s="4">
        <v>27</v>
      </c>
      <c r="D934" s="3">
        <v>1.7105532999999999</v>
      </c>
      <c r="E934" s="1">
        <v>5.1369863000000002E-3</v>
      </c>
      <c r="F934" s="2">
        <v>1.6399028E-2</v>
      </c>
    </row>
    <row r="935" spans="1:6" x14ac:dyDescent="0.25">
      <c r="A935" t="s">
        <v>6</v>
      </c>
      <c r="B935" s="5" t="str">
        <f>HYPERLINK("http://www.broadinstitute.org/gsea/msigdb/cards/GOBP_REGULATION_OF_CD4_POSITIVE_ALPHA_BETA_T_CELL_DIFFERENTIATION.html","GOBP_REGULATION_OF_CD4_POSITIVE_ALPHA_BETA_T_CELL_DIFFERENTIATION")</f>
        <v>GOBP_REGULATION_OF_CD4_POSITIVE_ALPHA_BETA_T_CELL_DIFFERENTIATION</v>
      </c>
      <c r="C935" s="4">
        <v>53</v>
      </c>
      <c r="D935" s="3">
        <v>1.7101525</v>
      </c>
      <c r="E935" s="1">
        <v>3.1948880999999999E-3</v>
      </c>
      <c r="F935" s="2">
        <v>1.6457038E-2</v>
      </c>
    </row>
    <row r="936" spans="1:6" x14ac:dyDescent="0.25">
      <c r="A936" t="s">
        <v>6</v>
      </c>
      <c r="B936" s="5" t="str">
        <f>HYPERLINK("http://www.broadinstitute.org/gsea/msigdb/cards/GOBP_POSITIVE_REGULATION_OF_B_CELL_MEDIATED_IMMUNITY.html","GOBP_POSITIVE_REGULATION_OF_B_CELL_MEDIATED_IMMUNITY")</f>
        <v>GOBP_POSITIVE_REGULATION_OF_B_CELL_MEDIATED_IMMUNITY</v>
      </c>
      <c r="C936" s="4">
        <v>61</v>
      </c>
      <c r="D936" s="3">
        <v>1.7099564</v>
      </c>
      <c r="E936" s="1">
        <v>1.6339869999999999E-3</v>
      </c>
      <c r="F936" s="2">
        <v>1.646972E-2</v>
      </c>
    </row>
    <row r="937" spans="1:6" x14ac:dyDescent="0.25">
      <c r="A937" t="s">
        <v>6</v>
      </c>
      <c r="B937" s="5" t="str">
        <f>HYPERLINK("http://www.broadinstitute.org/gsea/msigdb/cards/GOBP_REGULATION_OF_MACROPHAGE_DERIVED_FOAM_CELL_DIFFERENTIATION.html","GOBP_REGULATION_OF_MACROPHAGE_DERIVED_FOAM_CELL_DIFFERENTIATION")</f>
        <v>GOBP_REGULATION_OF_MACROPHAGE_DERIVED_FOAM_CELL_DIFFERENTIATION</v>
      </c>
      <c r="C937" s="4">
        <v>25</v>
      </c>
      <c r="D937" s="3">
        <v>1.7092035999999999</v>
      </c>
      <c r="E937" s="1">
        <v>5.2083334999999996E-3</v>
      </c>
      <c r="F937" s="2">
        <v>1.6591077999999999E-2</v>
      </c>
    </row>
    <row r="938" spans="1:6" x14ac:dyDescent="0.25">
      <c r="A938" t="s">
        <v>6</v>
      </c>
      <c r="B938" s="5" t="str">
        <f>HYPERLINK("http://www.broadinstitute.org/gsea/msigdb/cards/GOBP_NEGATIVE_REGULATION_OF_T_CELL_RECEPTOR_SIGNALING_PATHWAY.html","GOBP_NEGATIVE_REGULATION_OF_T_CELL_RECEPTOR_SIGNALING_PATHWAY")</f>
        <v>GOBP_NEGATIVE_REGULATION_OF_T_CELL_RECEPTOR_SIGNALING_PATHWAY</v>
      </c>
      <c r="C938" s="4">
        <v>25</v>
      </c>
      <c r="D938" s="3">
        <v>1.7085378</v>
      </c>
      <c r="E938" s="1">
        <v>6.9324089999999996E-3</v>
      </c>
      <c r="F938" s="2">
        <v>1.6691621E-2</v>
      </c>
    </row>
    <row r="939" spans="1:6" x14ac:dyDescent="0.25">
      <c r="A939" t="s">
        <v>6</v>
      </c>
      <c r="B939" s="5" t="str">
        <f>HYPERLINK("http://www.broadinstitute.org/gsea/msigdb/cards/GOBP_POSITIVE_REGULATION_OF_RECEPTOR_MEDIATED_ENDOCYTOSIS.html","GOBP_POSITIVE_REGULATION_OF_RECEPTOR_MEDIATED_ENDOCYTOSIS")</f>
        <v>GOBP_POSITIVE_REGULATION_OF_RECEPTOR_MEDIATED_ENDOCYTOSIS</v>
      </c>
      <c r="C939" s="4">
        <v>62</v>
      </c>
      <c r="D939" s="3">
        <v>1.7085025</v>
      </c>
      <c r="E939" s="1">
        <v>4.6656299999999996E-3</v>
      </c>
      <c r="F939" s="2">
        <v>1.6681855999999998E-2</v>
      </c>
    </row>
    <row r="940" spans="1:6" x14ac:dyDescent="0.25">
      <c r="A940" t="s">
        <v>7</v>
      </c>
      <c r="B940" s="5" t="str">
        <f>HYPERLINK("http://www.broadinstitute.org/gsea/msigdb/cards/GOCC_COATED_VESICLE_MEMBRANE.html","GOCC_COATED_VESICLE_MEMBRANE")</f>
        <v>GOCC_COATED_VESICLE_MEMBRANE</v>
      </c>
      <c r="C940" s="4">
        <v>94</v>
      </c>
      <c r="D940" s="3">
        <v>1.7074195000000001</v>
      </c>
      <c r="E940" s="1">
        <v>0</v>
      </c>
      <c r="F940" s="2">
        <v>1.6873550000000001E-2</v>
      </c>
    </row>
    <row r="941" spans="1:6" x14ac:dyDescent="0.25">
      <c r="A941" t="s">
        <v>6</v>
      </c>
      <c r="B941" s="5" t="str">
        <f>HYPERLINK("http://www.broadinstitute.org/gsea/msigdb/cards/GOBP_CELLULAR_RESPONSE_TO_UNFOLDED_PROTEIN.html","GOBP_CELLULAR_RESPONSE_TO_UNFOLDED_PROTEIN")</f>
        <v>GOBP_CELLULAR_RESPONSE_TO_UNFOLDED_PROTEIN</v>
      </c>
      <c r="C941" s="4">
        <v>80</v>
      </c>
      <c r="D941" s="3">
        <v>1.7073655000000001</v>
      </c>
      <c r="E941" s="1">
        <v>1.5128591999999999E-3</v>
      </c>
      <c r="F941" s="2">
        <v>1.6862499999999999E-2</v>
      </c>
    </row>
    <row r="942" spans="1:6" x14ac:dyDescent="0.25">
      <c r="A942" t="s">
        <v>7</v>
      </c>
      <c r="B942" s="5" t="str">
        <f>HYPERLINK("http://www.broadinstitute.org/gsea/msigdb/cards/GOCC_TRANS_GOLGI_NETWORK.html","GOCC_TRANS_GOLGI_NETWORK")</f>
        <v>GOCC_TRANS_GOLGI_NETWORK</v>
      </c>
      <c r="C942" s="4">
        <v>250</v>
      </c>
      <c r="D942" s="3">
        <v>1.7072206999999999</v>
      </c>
      <c r="E942" s="1">
        <v>0</v>
      </c>
      <c r="F942" s="2">
        <v>1.6869998000000001E-2</v>
      </c>
    </row>
    <row r="943" spans="1:6" x14ac:dyDescent="0.25">
      <c r="A943" t="s">
        <v>6</v>
      </c>
      <c r="B943" s="5" t="str">
        <f>HYPERLINK("http://www.broadinstitute.org/gsea/msigdb/cards/GOBP_DENDRITIC_CELL_CHEMOTAXIS.html","GOBP_DENDRITIC_CELL_CHEMOTAXIS")</f>
        <v>GOBP_DENDRITIC_CELL_CHEMOTAXIS</v>
      </c>
      <c r="C943" s="4">
        <v>18</v>
      </c>
      <c r="D943" s="3">
        <v>1.7063892000000001</v>
      </c>
      <c r="E943" s="1">
        <v>1.1986301E-2</v>
      </c>
      <c r="F943" s="2">
        <v>1.7014577999999999E-2</v>
      </c>
    </row>
    <row r="944" spans="1:6" x14ac:dyDescent="0.25">
      <c r="A944" t="s">
        <v>6</v>
      </c>
      <c r="B944" s="5" t="str">
        <f>HYPERLINK("http://www.broadinstitute.org/gsea/msigdb/cards/GOBP_POSITIVE_REGULATION_OF_TYROSINE_PHOSPHORYLATION_OF_STAT_PROTEIN.html","GOBP_POSITIVE_REGULATION_OF_TYROSINE_PHOSPHORYLATION_OF_STAT_PROTEIN")</f>
        <v>GOBP_POSITIVE_REGULATION_OF_TYROSINE_PHOSPHORYLATION_OF_STAT_PROTEIN</v>
      </c>
      <c r="C944" s="4">
        <v>53</v>
      </c>
      <c r="D944" s="3">
        <v>1.7056358</v>
      </c>
      <c r="E944" s="1">
        <v>1.5503876000000001E-3</v>
      </c>
      <c r="F944" s="2">
        <v>1.7132338E-2</v>
      </c>
    </row>
    <row r="945" spans="1:6" x14ac:dyDescent="0.25">
      <c r="A945" t="s">
        <v>8</v>
      </c>
      <c r="B945" s="5" t="str">
        <f>HYPERLINK("http://www.broadinstitute.org/gsea/msigdb/cards/GOMF_APOLIPOPROTEIN_BINDING.html","GOMF_APOLIPOPROTEIN_BINDING")</f>
        <v>GOMF_APOLIPOPROTEIN_BINDING</v>
      </c>
      <c r="C945" s="4">
        <v>20</v>
      </c>
      <c r="D945" s="3">
        <v>1.7054248999999999</v>
      </c>
      <c r="E945" s="1">
        <v>1.0471204E-2</v>
      </c>
      <c r="F945" s="2">
        <v>1.7153252000000001E-2</v>
      </c>
    </row>
    <row r="946" spans="1:6" x14ac:dyDescent="0.25">
      <c r="A946" t="s">
        <v>7</v>
      </c>
      <c r="B946" s="5" t="str">
        <f>HYPERLINK("http://www.broadinstitute.org/gsea/msigdb/cards/GOCC_LATE_ENDOSOME.html","GOCC_LATE_ENDOSOME")</f>
        <v>GOCC_LATE_ENDOSOME</v>
      </c>
      <c r="C946" s="4">
        <v>251</v>
      </c>
      <c r="D946" s="3">
        <v>1.7052025</v>
      </c>
      <c r="E946" s="1">
        <v>0</v>
      </c>
      <c r="F946" s="2">
        <v>1.7162671000000001E-2</v>
      </c>
    </row>
    <row r="947" spans="1:6" x14ac:dyDescent="0.25">
      <c r="A947" t="s">
        <v>8</v>
      </c>
      <c r="B947" s="5" t="str">
        <f>HYPERLINK("http://www.broadinstitute.org/gsea/msigdb/cards/GOMF_CORECEPTOR_ACTIVITY.html","GOMF_CORECEPTOR_ACTIVITY")</f>
        <v>GOMF_CORECEPTOR_ACTIVITY</v>
      </c>
      <c r="C947" s="4">
        <v>41</v>
      </c>
      <c r="D947" s="3">
        <v>1.7045596000000001</v>
      </c>
      <c r="E947" s="1">
        <v>3.2520323999999999E-3</v>
      </c>
      <c r="F947" s="2">
        <v>1.7274149999999999E-2</v>
      </c>
    </row>
    <row r="948" spans="1:6" x14ac:dyDescent="0.25">
      <c r="A948" t="s">
        <v>6</v>
      </c>
      <c r="B948" s="5" t="str">
        <f>HYPERLINK("http://www.broadinstitute.org/gsea/msigdb/cards/GOBP_NEGATIVE_REGULATION_OF_INTERLEUKIN_2_PRODUCTION.html","GOBP_NEGATIVE_REGULATION_OF_INTERLEUKIN_2_PRODUCTION")</f>
        <v>GOBP_NEGATIVE_REGULATION_OF_INTERLEUKIN_2_PRODUCTION</v>
      </c>
      <c r="C948" s="4">
        <v>26</v>
      </c>
      <c r="D948" s="3">
        <v>1.7043695000000001</v>
      </c>
      <c r="E948" s="1">
        <v>6.8376069999999999E-3</v>
      </c>
      <c r="F948" s="2">
        <v>1.7299345000000001E-2</v>
      </c>
    </row>
    <row r="949" spans="1:6" x14ac:dyDescent="0.25">
      <c r="A949" t="s">
        <v>6</v>
      </c>
      <c r="B949" s="5" t="str">
        <f>HYPERLINK("http://www.broadinstitute.org/gsea/msigdb/cards/GOBP_NEGATIVE_REGULATION_OF_LOCOMOTION.html","GOBP_NEGATIVE_REGULATION_OF_LOCOMOTION")</f>
        <v>GOBP_NEGATIVE_REGULATION_OF_LOCOMOTION</v>
      </c>
      <c r="C949" s="4">
        <v>347</v>
      </c>
      <c r="D949" s="3">
        <v>1.7041748999999999</v>
      </c>
      <c r="E949" s="1">
        <v>0</v>
      </c>
      <c r="F949" s="2">
        <v>1.7312009999999999E-2</v>
      </c>
    </row>
    <row r="950" spans="1:6" x14ac:dyDescent="0.25">
      <c r="A950" t="s">
        <v>6</v>
      </c>
      <c r="B950" s="5" t="str">
        <f>HYPERLINK("http://www.broadinstitute.org/gsea/msigdb/cards/GOBP_ANTIGEN_PROCESSING_AND_PRESENTATION_OF_ENDOGENOUS_ANTIGEN.html","GOBP_ANTIGEN_PROCESSING_AND_PRESENTATION_OF_ENDOGENOUS_ANTIGEN")</f>
        <v>GOBP_ANTIGEN_PROCESSING_AND_PRESENTATION_OF_ENDOGENOUS_ANTIGEN</v>
      </c>
      <c r="C950" s="4">
        <v>34</v>
      </c>
      <c r="D950" s="3">
        <v>1.7036536</v>
      </c>
      <c r="E950" s="1">
        <v>5.2539403999999996E-3</v>
      </c>
      <c r="F950" s="2">
        <v>1.7379473999999999E-2</v>
      </c>
    </row>
    <row r="951" spans="1:6" x14ac:dyDescent="0.25">
      <c r="A951" t="s">
        <v>6</v>
      </c>
      <c r="B951" s="5" t="str">
        <f>HYPERLINK("http://www.broadinstitute.org/gsea/msigdb/cards/GOBP_REGULATION_OF_TYPE_2_IMMUNE_RESPONSE.html","GOBP_REGULATION_OF_TYPE_2_IMMUNE_RESPONSE")</f>
        <v>GOBP_REGULATION_OF_TYPE_2_IMMUNE_RESPONSE</v>
      </c>
      <c r="C951" s="4">
        <v>33</v>
      </c>
      <c r="D951" s="3">
        <v>1.703074</v>
      </c>
      <c r="E951" s="1">
        <v>8.7412589999999995E-3</v>
      </c>
      <c r="F951" s="2">
        <v>1.7479907999999999E-2</v>
      </c>
    </row>
    <row r="952" spans="1:6" x14ac:dyDescent="0.25">
      <c r="A952" t="s">
        <v>6</v>
      </c>
      <c r="B952" s="5" t="str">
        <f>HYPERLINK("http://www.broadinstitute.org/gsea/msigdb/cards/GOBP_COPPER_ION_TRANSPORT.html","GOBP_COPPER_ION_TRANSPORT")</f>
        <v>GOBP_COPPER_ION_TRANSPORT</v>
      </c>
      <c r="C952" s="4">
        <v>16</v>
      </c>
      <c r="D952" s="3">
        <v>1.7007387</v>
      </c>
      <c r="E952" s="1">
        <v>8.8339219999999993E-3</v>
      </c>
      <c r="F952" s="2">
        <v>1.7921475999999999E-2</v>
      </c>
    </row>
    <row r="953" spans="1:6" x14ac:dyDescent="0.25">
      <c r="A953" t="s">
        <v>6</v>
      </c>
      <c r="B953" s="5" t="str">
        <f>HYPERLINK("http://www.broadinstitute.org/gsea/msigdb/cards/GOBP_NEGATIVE_REGULATION_OF_CYTOKINE_PRODUCTION_INVOLVED_IN_INFLAMMATORY_RESPONSE.html","GOBP_NEGATIVE_REGULATION_OF_CYTOKINE_PRODUCTION_INVOLVED_IN_INFLAMMATORY_RESPONSE")</f>
        <v>GOBP_NEGATIVE_REGULATION_OF_CYTOKINE_PRODUCTION_INVOLVED_IN_INFLAMMATORY_RESPONSE</v>
      </c>
      <c r="C953" s="4">
        <v>25</v>
      </c>
      <c r="D953" s="3">
        <v>1.7006794000000001</v>
      </c>
      <c r="E953" s="1">
        <v>8.4033619999999993E-3</v>
      </c>
      <c r="F953" s="2">
        <v>1.7911771E-2</v>
      </c>
    </row>
    <row r="954" spans="1:6" x14ac:dyDescent="0.25">
      <c r="A954" t="s">
        <v>6</v>
      </c>
      <c r="B954" s="5" t="str">
        <f>HYPERLINK("http://www.broadinstitute.org/gsea/msigdb/cards/GOBP_POSITIVE_REGULATION_OF_TRANSFERASE_ACTIVITY.html","GOBP_POSITIVE_REGULATION_OF_TRANSFERASE_ACTIVITY")</f>
        <v>GOBP_POSITIVE_REGULATION_OF_TRANSFERASE_ACTIVITY</v>
      </c>
      <c r="C954" s="4">
        <v>485</v>
      </c>
      <c r="D954" s="3">
        <v>1.7004542</v>
      </c>
      <c r="E954" s="1">
        <v>0</v>
      </c>
      <c r="F954" s="2">
        <v>1.7938486999999999E-2</v>
      </c>
    </row>
    <row r="955" spans="1:6" x14ac:dyDescent="0.25">
      <c r="A955" t="s">
        <v>6</v>
      </c>
      <c r="B955" s="5" t="str">
        <f>HYPERLINK("http://www.broadinstitute.org/gsea/msigdb/cards/GOBP_NEUTROPHIL_MEDIATED_CYTOTOXICITY.html","GOBP_NEUTROPHIL_MEDIATED_CYTOTOXICITY")</f>
        <v>GOBP_NEUTROPHIL_MEDIATED_CYTOTOXICITY</v>
      </c>
      <c r="C955" s="4">
        <v>17</v>
      </c>
      <c r="D955" s="3">
        <v>1.6991658000000001</v>
      </c>
      <c r="E955" s="1">
        <v>3.3898305000000001E-3</v>
      </c>
      <c r="F955" s="2">
        <v>1.8149411000000001E-2</v>
      </c>
    </row>
    <row r="956" spans="1:6" x14ac:dyDescent="0.25">
      <c r="A956" t="s">
        <v>6</v>
      </c>
      <c r="B956" s="5" t="str">
        <f>HYPERLINK("http://www.broadinstitute.org/gsea/msigdb/cards/GOBP_SMOOTH_MUSCLE_CELL_MIGRATION.html","GOBP_SMOOTH_MUSCLE_CELL_MIGRATION")</f>
        <v>GOBP_SMOOTH_MUSCLE_CELL_MIGRATION</v>
      </c>
      <c r="C956" s="4">
        <v>114</v>
      </c>
      <c r="D956" s="3">
        <v>1.6989691</v>
      </c>
      <c r="E956" s="1">
        <v>0</v>
      </c>
      <c r="F956" s="2">
        <v>1.8168973000000001E-2</v>
      </c>
    </row>
    <row r="957" spans="1:6" x14ac:dyDescent="0.25">
      <c r="A957" t="s">
        <v>6</v>
      </c>
      <c r="B957" s="5" t="str">
        <f>HYPERLINK("http://www.broadinstitute.org/gsea/msigdb/cards/GOBP_NEGATIVE_REGULATION_OF_VIRAL_TRANSCRIPTION.html","GOBP_NEGATIVE_REGULATION_OF_VIRAL_TRANSCRIPTION")</f>
        <v>GOBP_NEGATIVE_REGULATION_OF_VIRAL_TRANSCRIPTION</v>
      </c>
      <c r="C957" s="4">
        <v>16</v>
      </c>
      <c r="D957" s="3">
        <v>1.6989306</v>
      </c>
      <c r="E957" s="1">
        <v>1.0238908E-2</v>
      </c>
      <c r="F957" s="2">
        <v>1.8160107000000002E-2</v>
      </c>
    </row>
    <row r="958" spans="1:6" x14ac:dyDescent="0.25">
      <c r="A958" t="s">
        <v>6</v>
      </c>
      <c r="B958" s="5" t="str">
        <f>HYPERLINK("http://www.broadinstitute.org/gsea/msigdb/cards/GOBP_BRANCHING_INVOLVED_IN_BLOOD_VESSEL_MORPHOGENESIS.html","GOBP_BRANCHING_INVOLVED_IN_BLOOD_VESSEL_MORPHOGENESIS")</f>
        <v>GOBP_BRANCHING_INVOLVED_IN_BLOOD_VESSEL_MORPHOGENESIS</v>
      </c>
      <c r="C958" s="4">
        <v>45</v>
      </c>
      <c r="D958" s="3">
        <v>1.6984458</v>
      </c>
      <c r="E958" s="1">
        <v>4.7393367E-3</v>
      </c>
      <c r="F958" s="2">
        <v>1.8217008999999999E-2</v>
      </c>
    </row>
    <row r="959" spans="1:6" x14ac:dyDescent="0.25">
      <c r="A959" t="s">
        <v>6</v>
      </c>
      <c r="B959" s="5" t="str">
        <f>HYPERLINK("http://www.broadinstitute.org/gsea/msigdb/cards/GOBP_ACTIN_FILAMENT_SEVERING.html","GOBP_ACTIN_FILAMENT_SEVERING")</f>
        <v>GOBP_ACTIN_FILAMENT_SEVERING</v>
      </c>
      <c r="C959" s="4">
        <v>17</v>
      </c>
      <c r="D959" s="3">
        <v>1.698269</v>
      </c>
      <c r="E959" s="1">
        <v>1.0204081E-2</v>
      </c>
      <c r="F959" s="2">
        <v>1.8238798000000001E-2</v>
      </c>
    </row>
    <row r="960" spans="1:6" x14ac:dyDescent="0.25">
      <c r="A960" t="s">
        <v>6</v>
      </c>
      <c r="B960" s="5" t="str">
        <f>HYPERLINK("http://www.broadinstitute.org/gsea/msigdb/cards/GOBP_POSITIVE_CHEMOTAXIS.html","GOBP_POSITIVE_CHEMOTAXIS")</f>
        <v>GOBP_POSITIVE_CHEMOTAXIS</v>
      </c>
      <c r="C960" s="4">
        <v>44</v>
      </c>
      <c r="D960" s="3">
        <v>1.6981451999999999</v>
      </c>
      <c r="E960" s="1">
        <v>1.5600624E-3</v>
      </c>
      <c r="F960" s="2">
        <v>1.8241199E-2</v>
      </c>
    </row>
    <row r="961" spans="1:6" x14ac:dyDescent="0.25">
      <c r="A961" t="s">
        <v>7</v>
      </c>
      <c r="B961" s="5" t="str">
        <f>HYPERLINK("http://www.broadinstitute.org/gsea/msigdb/cards/GOCC_PHAGOCYTIC_CUP.html","GOCC_PHAGOCYTIC_CUP")</f>
        <v>GOCC_PHAGOCYTIC_CUP</v>
      </c>
      <c r="C961" s="4">
        <v>22</v>
      </c>
      <c r="D961" s="3">
        <v>1.6976348000000001</v>
      </c>
      <c r="E961" s="1">
        <v>8.6505190000000006E-3</v>
      </c>
      <c r="F961" s="2">
        <v>1.8331757000000001E-2</v>
      </c>
    </row>
    <row r="962" spans="1:6" x14ac:dyDescent="0.25">
      <c r="A962" t="s">
        <v>8</v>
      </c>
      <c r="B962" s="5" t="str">
        <f>HYPERLINK("http://www.broadinstitute.org/gsea/msigdb/cards/GOMF_TRANSITION_METAL_ION_TRANSMEMBRANE_TRANSPORTER_ACTIVITY.html","GOMF_TRANSITION_METAL_ION_TRANSMEMBRANE_TRANSPORTER_ACTIVITY")</f>
        <v>GOMF_TRANSITION_METAL_ION_TRANSMEMBRANE_TRANSPORTER_ACTIVITY</v>
      </c>
      <c r="C962" s="4">
        <v>40</v>
      </c>
      <c r="D962" s="3">
        <v>1.6970882</v>
      </c>
      <c r="E962" s="1">
        <v>1.6313213999999999E-3</v>
      </c>
      <c r="F962" s="2">
        <v>1.8396220000000001E-2</v>
      </c>
    </row>
    <row r="963" spans="1:6" x14ac:dyDescent="0.25">
      <c r="A963" t="s">
        <v>10</v>
      </c>
      <c r="B963" s="5" t="str">
        <f>HYPERLINK("http://www.broadinstitute.org/gsea/msigdb/cards/REACTOME_ANTIGEN_PRESENTATION_FOLDING_ASSEMBLY_AND_PEPTIDE_LOADING_OF_CLASS_I_MHC.html","REACTOME_ANTIGEN_PRESENTATION_FOLDING_ASSEMBLY_AND_PEPTIDE_LOADING_OF_CLASS_I_MHC")</f>
        <v>REACTOME_ANTIGEN_PRESENTATION_FOLDING_ASSEMBLY_AND_PEPTIDE_LOADING_OF_CLASS_I_MHC</v>
      </c>
      <c r="C963" s="4">
        <v>33</v>
      </c>
      <c r="D963" s="3">
        <v>1.6964980000000001</v>
      </c>
      <c r="E963" s="1">
        <v>8.5910650000000002E-3</v>
      </c>
      <c r="F963" s="2">
        <v>1.8507760000000002E-2</v>
      </c>
    </row>
    <row r="964" spans="1:6" x14ac:dyDescent="0.25">
      <c r="A964" t="s">
        <v>6</v>
      </c>
      <c r="B964" s="5" t="str">
        <f>HYPERLINK("http://www.broadinstitute.org/gsea/msigdb/cards/GOBP_POSITIVE_REGULATION_OF_RESPONSE_TO_WOUNDING.html","GOBP_POSITIVE_REGULATION_OF_RESPONSE_TO_WOUNDING")</f>
        <v>GOBP_POSITIVE_REGULATION_OF_RESPONSE_TO_WOUNDING</v>
      </c>
      <c r="C964" s="4">
        <v>78</v>
      </c>
      <c r="D964" s="3">
        <v>1.6960686</v>
      </c>
      <c r="E964" s="1">
        <v>1.5625000000000001E-3</v>
      </c>
      <c r="F964" s="2">
        <v>1.8577665E-2</v>
      </c>
    </row>
    <row r="965" spans="1:6" x14ac:dyDescent="0.25">
      <c r="A965" t="s">
        <v>6</v>
      </c>
      <c r="B965" s="5" t="str">
        <f>HYPERLINK("http://www.broadinstitute.org/gsea/msigdb/cards/GOBP_REGULATION_OF_GLIAL_CELL_MIGRATION.html","GOBP_REGULATION_OF_GLIAL_CELL_MIGRATION")</f>
        <v>GOBP_REGULATION_OF_GLIAL_CELL_MIGRATION</v>
      </c>
      <c r="C965" s="4">
        <v>26</v>
      </c>
      <c r="D965" s="3">
        <v>1.6960344000000001</v>
      </c>
      <c r="E965" s="1">
        <v>6.8610637000000004E-3</v>
      </c>
      <c r="F965" s="2">
        <v>1.8569676E-2</v>
      </c>
    </row>
    <row r="966" spans="1:6" x14ac:dyDescent="0.25">
      <c r="A966" t="s">
        <v>7</v>
      </c>
      <c r="B966" s="5" t="str">
        <f>HYPERLINK("http://www.broadinstitute.org/gsea/msigdb/cards/GOCC_VESICLE_COAT.html","GOCC_VESICLE_COAT")</f>
        <v>GOCC_VESICLE_COAT</v>
      </c>
      <c r="C966" s="4">
        <v>62</v>
      </c>
      <c r="D966" s="3">
        <v>1.6954787</v>
      </c>
      <c r="E966" s="1">
        <v>4.8543689999999999E-3</v>
      </c>
      <c r="F966" s="2">
        <v>1.8645957000000001E-2</v>
      </c>
    </row>
    <row r="967" spans="1:6" x14ac:dyDescent="0.25">
      <c r="A967" t="s">
        <v>5</v>
      </c>
      <c r="B967" s="5" t="str">
        <f>HYPERLINK("http://www.broadinstitute.org/gsea/msigdb/cards/BIOCARTA_TNFR2_PATHWAY.html","BIOCARTA_TNFR2_PATHWAY")</f>
        <v>BIOCARTA_TNFR2_PATHWAY</v>
      </c>
      <c r="C967" s="4">
        <v>17</v>
      </c>
      <c r="D967" s="3">
        <v>1.6943758</v>
      </c>
      <c r="E967" s="1">
        <v>4.8780489999999998E-3</v>
      </c>
      <c r="F967" s="2">
        <v>1.8844567E-2</v>
      </c>
    </row>
    <row r="968" spans="1:6" x14ac:dyDescent="0.25">
      <c r="A968" t="s">
        <v>6</v>
      </c>
      <c r="B968" s="5" t="str">
        <f>HYPERLINK("http://www.broadinstitute.org/gsea/msigdb/cards/GOBP_LEUKOTRIENE_METABOLIC_PROCESS.html","GOBP_LEUKOTRIENE_METABOLIC_PROCESS")</f>
        <v>GOBP_LEUKOTRIENE_METABOLIC_PROCESS</v>
      </c>
      <c r="C968" s="4">
        <v>22</v>
      </c>
      <c r="D968" s="3">
        <v>1.6938344000000001</v>
      </c>
      <c r="E968" s="1">
        <v>8.3194670000000005E-3</v>
      </c>
      <c r="F968" s="2">
        <v>1.8938335000000001E-2</v>
      </c>
    </row>
    <row r="969" spans="1:6" x14ac:dyDescent="0.25">
      <c r="A969" t="s">
        <v>10</v>
      </c>
      <c r="B969" s="5" t="str">
        <f>HYPERLINK("http://www.broadinstitute.org/gsea/msigdb/cards/REACTOME_TNF_RECEPTOR_SUPERFAMILY_TNFSF_MEMBERS_MEDIATING_NON_CANONICAL_NF_KB_PATHWAY.html","REACTOME_TNF_RECEPTOR_SUPERFAMILY_TNFSF_MEMBERS_MEDIATING_NON_CANONICAL_NF_KB_PATHWAY")</f>
        <v>REACTOME_TNF_RECEPTOR_SUPERFAMILY_TNFSF_MEMBERS_MEDIATING_NON_CANONICAL_NF_KB_PATHWAY</v>
      </c>
      <c r="C969" s="4">
        <v>17</v>
      </c>
      <c r="D969" s="3">
        <v>1.6938187</v>
      </c>
      <c r="E969" s="1">
        <v>7.0175439999999997E-3</v>
      </c>
      <c r="F969" s="2">
        <v>1.8920975E-2</v>
      </c>
    </row>
    <row r="970" spans="1:6" x14ac:dyDescent="0.25">
      <c r="A970" t="s">
        <v>6</v>
      </c>
      <c r="B970" s="5" t="str">
        <f>HYPERLINK("http://www.broadinstitute.org/gsea/msigdb/cards/GOBP_ANTIGEN_PROCESSING_AND_PRESENTATION_VIA_MHC_CLASS_IB.html","GOBP_ANTIGEN_PROCESSING_AND_PRESENTATION_VIA_MHC_CLASS_IB")</f>
        <v>GOBP_ANTIGEN_PROCESSING_AND_PRESENTATION_VIA_MHC_CLASS_IB</v>
      </c>
      <c r="C970" s="4">
        <v>32</v>
      </c>
      <c r="D970" s="3">
        <v>1.6936343</v>
      </c>
      <c r="E970" s="1">
        <v>3.2948928000000001E-3</v>
      </c>
      <c r="F970" s="2">
        <v>1.8936178000000001E-2</v>
      </c>
    </row>
    <row r="971" spans="1:6" x14ac:dyDescent="0.25">
      <c r="A971" t="s">
        <v>8</v>
      </c>
      <c r="B971" s="5" t="str">
        <f>HYPERLINK("http://www.broadinstitute.org/gsea/msigdb/cards/GOMF_GDP_BINDING.html","GOMF_GDP_BINDING")</f>
        <v>GOMF_GDP_BINDING</v>
      </c>
      <c r="C971" s="4">
        <v>79</v>
      </c>
      <c r="D971" s="3">
        <v>1.6931670000000001</v>
      </c>
      <c r="E971" s="1">
        <v>0</v>
      </c>
      <c r="F971" s="2">
        <v>1.898598E-2</v>
      </c>
    </row>
    <row r="972" spans="1:6" x14ac:dyDescent="0.25">
      <c r="A972" t="s">
        <v>6</v>
      </c>
      <c r="B972" s="5" t="str">
        <f>HYPERLINK("http://www.broadinstitute.org/gsea/msigdb/cards/GOBP_REGULATION_OF_ALPHA_BETA_T_CELL_DIFFERENTIATION.html","GOBP_REGULATION_OF_ALPHA_BETA_T_CELL_DIFFERENTIATION")</f>
        <v>GOBP_REGULATION_OF_ALPHA_BETA_T_CELL_DIFFERENTIATION</v>
      </c>
      <c r="C972" s="4">
        <v>73</v>
      </c>
      <c r="D972" s="3">
        <v>1.6925676000000001</v>
      </c>
      <c r="E972" s="1">
        <v>0</v>
      </c>
      <c r="F972" s="2">
        <v>1.9067002E-2</v>
      </c>
    </row>
    <row r="973" spans="1:6" x14ac:dyDescent="0.25">
      <c r="A973" t="s">
        <v>6</v>
      </c>
      <c r="B973" s="5" t="str">
        <f>HYPERLINK("http://www.broadinstitute.org/gsea/msigdb/cards/GOBP_AMINOGLYCAN_BIOSYNTHETIC_PROCESS.html","GOBP_AMINOGLYCAN_BIOSYNTHETIC_PROCESS")</f>
        <v>GOBP_AMINOGLYCAN_BIOSYNTHETIC_PROCESS</v>
      </c>
      <c r="C973" s="4">
        <v>59</v>
      </c>
      <c r="D973" s="3">
        <v>1.6909555999999999</v>
      </c>
      <c r="E973" s="1">
        <v>4.8859934000000001E-3</v>
      </c>
      <c r="F973" s="2">
        <v>1.9373382000000001E-2</v>
      </c>
    </row>
    <row r="974" spans="1:6" x14ac:dyDescent="0.25">
      <c r="A974" t="s">
        <v>6</v>
      </c>
      <c r="B974" s="5" t="str">
        <f>HYPERLINK("http://www.broadinstitute.org/gsea/msigdb/cards/GOBP_NEGATIVE_REGULATION_OF_NON_CANONICAL_NF_KAPPAB_SIGNAL_TRANSDUCTION.html","GOBP_NEGATIVE_REGULATION_OF_NON_CANONICAL_NF_KAPPAB_SIGNAL_TRANSDUCTION")</f>
        <v>GOBP_NEGATIVE_REGULATION_OF_NON_CANONICAL_NF_KAPPAB_SIGNAL_TRANSDUCTION</v>
      </c>
      <c r="C974" s="4">
        <v>27</v>
      </c>
      <c r="D974" s="3">
        <v>1.6908543</v>
      </c>
      <c r="E974" s="1">
        <v>1.6286644000000001E-3</v>
      </c>
      <c r="F974" s="2">
        <v>1.9369047E-2</v>
      </c>
    </row>
    <row r="975" spans="1:6" x14ac:dyDescent="0.25">
      <c r="A975" t="s">
        <v>6</v>
      </c>
      <c r="B975" s="5" t="str">
        <f>HYPERLINK("http://www.broadinstitute.org/gsea/msigdb/cards/GOBP_POSITIVE_REGULATION_OF_DNA_BINDING_TRANSCRIPTION_FACTOR_ACTIVITY.html","GOBP_POSITIVE_REGULATION_OF_DNA_BINDING_TRANSCRIPTION_FACTOR_ACTIVITY")</f>
        <v>GOBP_POSITIVE_REGULATION_OF_DNA_BINDING_TRANSCRIPTION_FACTOR_ACTIVITY</v>
      </c>
      <c r="C975" s="4">
        <v>264</v>
      </c>
      <c r="D975" s="3">
        <v>1.6901093</v>
      </c>
      <c r="E975" s="1">
        <v>0</v>
      </c>
      <c r="F975" s="2">
        <v>1.9500526000000001E-2</v>
      </c>
    </row>
    <row r="976" spans="1:6" x14ac:dyDescent="0.25">
      <c r="A976" t="s">
        <v>6</v>
      </c>
      <c r="B976" s="5" t="str">
        <f>HYPERLINK("http://www.broadinstitute.org/gsea/msigdb/cards/GOBP_EPIBOLY.html","GOBP_EPIBOLY")</f>
        <v>GOBP_EPIBOLY</v>
      </c>
      <c r="C976" s="4">
        <v>35</v>
      </c>
      <c r="D976" s="3">
        <v>1.6889932000000001</v>
      </c>
      <c r="E976" s="1">
        <v>6.6666670000000003E-3</v>
      </c>
      <c r="F976" s="2">
        <v>1.9716681999999999E-2</v>
      </c>
    </row>
    <row r="977" spans="1:6" x14ac:dyDescent="0.25">
      <c r="A977" t="s">
        <v>6</v>
      </c>
      <c r="B977" s="5" t="str">
        <f>HYPERLINK("http://www.broadinstitute.org/gsea/msigdb/cards/GOBP_NEGATIVE_REGULATION_OF_ENDOPEPTIDASE_ACTIVITY.html","GOBP_NEGATIVE_REGULATION_OF_ENDOPEPTIDASE_ACTIVITY")</f>
        <v>GOBP_NEGATIVE_REGULATION_OF_ENDOPEPTIDASE_ACTIVITY</v>
      </c>
      <c r="C977" s="4">
        <v>168</v>
      </c>
      <c r="D977" s="3">
        <v>1.6881689</v>
      </c>
      <c r="E977" s="1">
        <v>0</v>
      </c>
      <c r="F977" s="2">
        <v>1.9872341000000002E-2</v>
      </c>
    </row>
    <row r="978" spans="1:6" x14ac:dyDescent="0.25">
      <c r="A978" t="s">
        <v>6</v>
      </c>
      <c r="B978" s="5" t="str">
        <f>HYPERLINK("http://www.broadinstitute.org/gsea/msigdb/cards/GOBP_REGULATION_OF_T_HELPER_CELL_DIFFERENTIATION.html","GOBP_REGULATION_OF_T_HELPER_CELL_DIFFERENTIATION")</f>
        <v>GOBP_REGULATION_OF_T_HELPER_CELL_DIFFERENTIATION</v>
      </c>
      <c r="C978" s="4">
        <v>38</v>
      </c>
      <c r="D978" s="3">
        <v>1.6880666</v>
      </c>
      <c r="E978" s="1">
        <v>4.9833890000000004E-3</v>
      </c>
      <c r="F978" s="2">
        <v>1.9871917999999999E-2</v>
      </c>
    </row>
    <row r="979" spans="1:6" x14ac:dyDescent="0.25">
      <c r="A979" t="s">
        <v>6</v>
      </c>
      <c r="B979" s="5" t="str">
        <f>HYPERLINK("http://www.broadinstitute.org/gsea/msigdb/cards/GOBP_NEGATIVE_REGULATION_OF_ANTIGEN_RECEPTOR_MEDIATED_SIGNALING_PATHWAY.html","GOBP_NEGATIVE_REGULATION_OF_ANTIGEN_RECEPTOR_MEDIATED_SIGNALING_PATHWAY")</f>
        <v>GOBP_NEGATIVE_REGULATION_OF_ANTIGEN_RECEPTOR_MEDIATED_SIGNALING_PATHWAY</v>
      </c>
      <c r="C979" s="4">
        <v>31</v>
      </c>
      <c r="D979" s="3">
        <v>1.6880127</v>
      </c>
      <c r="E979" s="1">
        <v>9.8039219999999996E-3</v>
      </c>
      <c r="F979" s="2">
        <v>1.9861595999999999E-2</v>
      </c>
    </row>
    <row r="980" spans="1:6" x14ac:dyDescent="0.25">
      <c r="A980" t="s">
        <v>7</v>
      </c>
      <c r="B980" s="5" t="str">
        <f>HYPERLINK("http://www.broadinstitute.org/gsea/msigdb/cards/GOCC_ACTIN_FILAMENT.html","GOCC_ACTIN_FILAMENT")</f>
        <v>GOCC_ACTIN_FILAMENT</v>
      </c>
      <c r="C980" s="4">
        <v>132</v>
      </c>
      <c r="D980" s="3">
        <v>1.6874035999999999</v>
      </c>
      <c r="E980" s="1">
        <v>0</v>
      </c>
      <c r="F980" s="2">
        <v>1.9953499999999999E-2</v>
      </c>
    </row>
    <row r="981" spans="1:6" x14ac:dyDescent="0.25">
      <c r="A981" t="s">
        <v>6</v>
      </c>
      <c r="B981" s="5" t="str">
        <f>HYPERLINK("http://www.broadinstitute.org/gsea/msigdb/cards/GOBP_REGULATION_OF_MONOATOMIC_ANION_TRANSMEMBRANE_TRANSPORT.html","GOBP_REGULATION_OF_MONOATOMIC_ANION_TRANSMEMBRANE_TRANSPORT")</f>
        <v>GOBP_REGULATION_OF_MONOATOMIC_ANION_TRANSMEMBRANE_TRANSPORT</v>
      </c>
      <c r="C981" s="4">
        <v>16</v>
      </c>
      <c r="D981" s="3">
        <v>1.6873480999999999</v>
      </c>
      <c r="E981" s="1">
        <v>6.8376069999999999E-3</v>
      </c>
      <c r="F981" s="2">
        <v>1.9949683999999999E-2</v>
      </c>
    </row>
    <row r="982" spans="1:6" x14ac:dyDescent="0.25">
      <c r="A982" t="s">
        <v>6</v>
      </c>
      <c r="B982" s="5" t="str">
        <f>HYPERLINK("http://www.broadinstitute.org/gsea/msigdb/cards/GOBP_NEGATIVE_REGULATION_OF_LEUKOCYTE_APOPTOTIC_PROCESS.html","GOBP_NEGATIVE_REGULATION_OF_LEUKOCYTE_APOPTOTIC_PROCESS")</f>
        <v>GOBP_NEGATIVE_REGULATION_OF_LEUKOCYTE_APOPTOTIC_PROCESS</v>
      </c>
      <c r="C982" s="4">
        <v>66</v>
      </c>
      <c r="D982" s="3">
        <v>1.6872780000000001</v>
      </c>
      <c r="E982" s="1">
        <v>1.6750419E-3</v>
      </c>
      <c r="F982" s="2">
        <v>1.9942593000000002E-2</v>
      </c>
    </row>
    <row r="983" spans="1:6" x14ac:dyDescent="0.25">
      <c r="A983" t="s">
        <v>6</v>
      </c>
      <c r="B983" s="5" t="str">
        <f>HYPERLINK("http://www.broadinstitute.org/gsea/msigdb/cards/GOBP_TYPE_2_IMMUNE_RESPONSE.html","GOBP_TYPE_2_IMMUNE_RESPONSE")</f>
        <v>GOBP_TYPE_2_IMMUNE_RESPONSE</v>
      </c>
      <c r="C983" s="4">
        <v>48</v>
      </c>
      <c r="D983" s="3">
        <v>1.6863686</v>
      </c>
      <c r="E983" s="1">
        <v>3.2948928000000001E-3</v>
      </c>
      <c r="F983" s="2">
        <v>2.0122365999999999E-2</v>
      </c>
    </row>
    <row r="984" spans="1:6" x14ac:dyDescent="0.25">
      <c r="A984" t="s">
        <v>6</v>
      </c>
      <c r="B984" s="5" t="str">
        <f>HYPERLINK("http://www.broadinstitute.org/gsea/msigdb/cards/GOBP_POSITIVE_REGULATION_OF_VIRAL_LIFE_CYCLE.html","GOBP_POSITIVE_REGULATION_OF_VIRAL_LIFE_CYCLE")</f>
        <v>GOBP_POSITIVE_REGULATION_OF_VIRAL_LIFE_CYCLE</v>
      </c>
      <c r="C984" s="4">
        <v>28</v>
      </c>
      <c r="D984" s="3">
        <v>1.6857609</v>
      </c>
      <c r="E984" s="1">
        <v>8.7412589999999995E-3</v>
      </c>
      <c r="F984" s="2">
        <v>2.0243009999999999E-2</v>
      </c>
    </row>
    <row r="985" spans="1:6" x14ac:dyDescent="0.25">
      <c r="A985" t="s">
        <v>6</v>
      </c>
      <c r="B985" s="5" t="str">
        <f>HYPERLINK("http://www.broadinstitute.org/gsea/msigdb/cards/GOBP_RESPONSE_TO_OXIDATIVE_STRESS.html","GOBP_RESPONSE_TO_OXIDATIVE_STRESS")</f>
        <v>GOBP_RESPONSE_TO_OXIDATIVE_STRESS</v>
      </c>
      <c r="C985" s="4">
        <v>376</v>
      </c>
      <c r="D985" s="3">
        <v>1.6856412999999999</v>
      </c>
      <c r="E985" s="1">
        <v>0</v>
      </c>
      <c r="F985" s="2">
        <v>2.024782E-2</v>
      </c>
    </row>
    <row r="986" spans="1:6" x14ac:dyDescent="0.25">
      <c r="A986" t="s">
        <v>6</v>
      </c>
      <c r="B986" s="5" t="str">
        <f>HYPERLINK("http://www.broadinstitute.org/gsea/msigdb/cards/GOBP_GLYCOSYL_COMPOUND_CATABOLIC_PROCESS.html","GOBP_GLYCOSYL_COMPOUND_CATABOLIC_PROCESS")</f>
        <v>GOBP_GLYCOSYL_COMPOUND_CATABOLIC_PROCESS</v>
      </c>
      <c r="C986" s="4">
        <v>29</v>
      </c>
      <c r="D986" s="3">
        <v>1.6854914000000001</v>
      </c>
      <c r="E986" s="1">
        <v>6.7567570000000004E-3</v>
      </c>
      <c r="F986" s="2">
        <v>2.0251478999999999E-2</v>
      </c>
    </row>
    <row r="987" spans="1:6" x14ac:dyDescent="0.25">
      <c r="A987" t="s">
        <v>6</v>
      </c>
      <c r="B987" s="5" t="str">
        <f>HYPERLINK("http://www.broadinstitute.org/gsea/msigdb/cards/GOBP_ACTIVATION_OF_PROTEIN_KINASE_ACTIVITY.html","GOBP_ACTIVATION_OF_PROTEIN_KINASE_ACTIVITY")</f>
        <v>GOBP_ACTIVATION_OF_PROTEIN_KINASE_ACTIVITY</v>
      </c>
      <c r="C987" s="4">
        <v>93</v>
      </c>
      <c r="D987" s="3">
        <v>1.6854750999999999</v>
      </c>
      <c r="E987" s="1">
        <v>1.4388489E-3</v>
      </c>
      <c r="F987" s="2">
        <v>2.0233098000000001E-2</v>
      </c>
    </row>
    <row r="988" spans="1:6" x14ac:dyDescent="0.25">
      <c r="A988" t="s">
        <v>6</v>
      </c>
      <c r="B988" s="5" t="str">
        <f>HYPERLINK("http://www.broadinstitute.org/gsea/msigdb/cards/GOBP_REGULATION_OF_GTPASE_ACTIVITY.html","GOBP_REGULATION_OF_GTPASE_ACTIVITY")</f>
        <v>GOBP_REGULATION_OF_GTPASE_ACTIVITY</v>
      </c>
      <c r="C988" s="4">
        <v>338</v>
      </c>
      <c r="D988" s="3">
        <v>1.6854325999999999</v>
      </c>
      <c r="E988" s="1">
        <v>0</v>
      </c>
      <c r="F988" s="2">
        <v>2.0223611999999998E-2</v>
      </c>
    </row>
    <row r="989" spans="1:6" x14ac:dyDescent="0.25">
      <c r="A989" t="s">
        <v>11</v>
      </c>
      <c r="B989" s="5" t="str">
        <f>HYPERLINK("http://www.broadinstitute.org/gsea/msigdb/cards/WP_ERBB_SIGNALING_PATHWAY.html","WP_ERBB_SIGNALING_PATHWAY")</f>
        <v>WP_ERBB_SIGNALING_PATHWAY</v>
      </c>
      <c r="C989" s="4">
        <v>46</v>
      </c>
      <c r="D989" s="3">
        <v>1.6850566</v>
      </c>
      <c r="E989" s="1">
        <v>6.5681445000000003E-3</v>
      </c>
      <c r="F989" s="2">
        <v>2.0282324000000001E-2</v>
      </c>
    </row>
    <row r="990" spans="1:6" x14ac:dyDescent="0.25">
      <c r="A990" t="s">
        <v>6</v>
      </c>
      <c r="B990" s="5" t="str">
        <f>HYPERLINK("http://www.broadinstitute.org/gsea/msigdb/cards/GOBP_CD4_POSITIVE_ALPHA_BETA_T_CELL_CYTOKINE_PRODUCTION.html","GOBP_CD4_POSITIVE_ALPHA_BETA_T_CELL_CYTOKINE_PRODUCTION")</f>
        <v>GOBP_CD4_POSITIVE_ALPHA_BETA_T_CELL_CYTOKINE_PRODUCTION</v>
      </c>
      <c r="C990" s="4">
        <v>26</v>
      </c>
      <c r="D990" s="3">
        <v>1.6848383</v>
      </c>
      <c r="E990" s="1">
        <v>1.1647253999999999E-2</v>
      </c>
      <c r="F990" s="2">
        <v>2.0305704000000001E-2</v>
      </c>
    </row>
    <row r="991" spans="1:6" x14ac:dyDescent="0.25">
      <c r="A991" t="s">
        <v>7</v>
      </c>
      <c r="B991" s="5" t="str">
        <f>HYPERLINK("http://www.broadinstitute.org/gsea/msigdb/cards/GOCC_COPI_COATED_VESICLE.html","GOCC_COPI_COATED_VESICLE")</f>
        <v>GOCC_COPI_COATED_VESICLE</v>
      </c>
      <c r="C991" s="4">
        <v>30</v>
      </c>
      <c r="D991" s="3">
        <v>1.6847388000000001</v>
      </c>
      <c r="E991" s="1">
        <v>0</v>
      </c>
      <c r="F991" s="2">
        <v>2.0302726E-2</v>
      </c>
    </row>
    <row r="992" spans="1:6" x14ac:dyDescent="0.25">
      <c r="A992" t="s">
        <v>6</v>
      </c>
      <c r="B992" s="5" t="str">
        <f>HYPERLINK("http://www.broadinstitute.org/gsea/msigdb/cards/GOBP_REGULATION_OF_SPROUTING_ANGIOGENESIS.html","GOBP_REGULATION_OF_SPROUTING_ANGIOGENESIS")</f>
        <v>GOBP_REGULATION_OF_SPROUTING_ANGIOGENESIS</v>
      </c>
      <c r="C992" s="4">
        <v>43</v>
      </c>
      <c r="D992" s="3">
        <v>1.6845441999999999</v>
      </c>
      <c r="E992" s="1">
        <v>1.5797789000000001E-3</v>
      </c>
      <c r="F992" s="2">
        <v>2.0318473E-2</v>
      </c>
    </row>
    <row r="993" spans="1:6" x14ac:dyDescent="0.25">
      <c r="A993" t="s">
        <v>6</v>
      </c>
      <c r="B993" s="5" t="str">
        <f>HYPERLINK("http://www.broadinstitute.org/gsea/msigdb/cards/GOBP_RESPIRATORY_BURST.html","GOBP_RESPIRATORY_BURST")</f>
        <v>GOBP_RESPIRATORY_BURST</v>
      </c>
      <c r="C993" s="4">
        <v>28</v>
      </c>
      <c r="D993" s="3">
        <v>1.6844751</v>
      </c>
      <c r="E993" s="1">
        <v>1.1784512E-2</v>
      </c>
      <c r="F993" s="2">
        <v>2.0308883999999999E-2</v>
      </c>
    </row>
    <row r="994" spans="1:6" x14ac:dyDescent="0.25">
      <c r="A994" t="s">
        <v>6</v>
      </c>
      <c r="B994" s="5" t="str">
        <f>HYPERLINK("http://www.broadinstitute.org/gsea/msigdb/cards/GOBP_IMMUNOGLOBULIN_PRODUCTION.html","GOBP_IMMUNOGLOBULIN_PRODUCTION")</f>
        <v>GOBP_IMMUNOGLOBULIN_PRODUCTION</v>
      </c>
      <c r="C994" s="4">
        <v>145</v>
      </c>
      <c r="D994" s="3">
        <v>1.6843558999999999</v>
      </c>
      <c r="E994" s="1">
        <v>0</v>
      </c>
      <c r="F994" s="2">
        <v>2.031786E-2</v>
      </c>
    </row>
    <row r="995" spans="1:6" x14ac:dyDescent="0.25">
      <c r="A995" t="s">
        <v>6</v>
      </c>
      <c r="B995" s="5" t="str">
        <f>HYPERLINK("http://www.broadinstitute.org/gsea/msigdb/cards/GOBP_OLIGOSACCHARIDE_METABOLIC_PROCESS.html","GOBP_OLIGOSACCHARIDE_METABOLIC_PROCESS")</f>
        <v>GOBP_OLIGOSACCHARIDE_METABOLIC_PROCESS</v>
      </c>
      <c r="C995" s="4">
        <v>49</v>
      </c>
      <c r="D995" s="3">
        <v>1.6841950000000001</v>
      </c>
      <c r="E995" s="1">
        <v>3.2626427999999999E-3</v>
      </c>
      <c r="F995" s="2">
        <v>2.0333441000000001E-2</v>
      </c>
    </row>
    <row r="996" spans="1:6" x14ac:dyDescent="0.25">
      <c r="A996" t="s">
        <v>6</v>
      </c>
      <c r="B996" s="5" t="str">
        <f>HYPERLINK("http://www.broadinstitute.org/gsea/msigdb/cards/GOBP_VACUOLAR_TRANSPORT.html","GOBP_VACUOLAR_TRANSPORT")</f>
        <v>GOBP_VACUOLAR_TRANSPORT</v>
      </c>
      <c r="C996" s="4">
        <v>163</v>
      </c>
      <c r="D996" s="3">
        <v>1.6841006999999999</v>
      </c>
      <c r="E996" s="1">
        <v>0</v>
      </c>
      <c r="F996" s="2">
        <v>2.0340217000000001E-2</v>
      </c>
    </row>
    <row r="997" spans="1:6" x14ac:dyDescent="0.25">
      <c r="A997" t="s">
        <v>8</v>
      </c>
      <c r="B997" s="5" t="str">
        <f>HYPERLINK("http://www.broadinstitute.org/gsea/msigdb/cards/GOMF_CYSTEINE_TYPE_ENDOPEPTIDASE_INHIBITOR_ACTIVITY_INVOLVED_IN_APOPTOTIC_PROCESS.html","GOMF_CYSTEINE_TYPE_ENDOPEPTIDASE_INHIBITOR_ACTIVITY_INVOLVED_IN_APOPTOTIC_PROCESS")</f>
        <v>GOMF_CYSTEINE_TYPE_ENDOPEPTIDASE_INHIBITOR_ACTIVITY_INVOLVED_IN_APOPTOTIC_PROCESS</v>
      </c>
      <c r="C997" s="4">
        <v>29</v>
      </c>
      <c r="D997" s="3">
        <v>1.6839797000000001</v>
      </c>
      <c r="E997" s="1">
        <v>3.3783785000000002E-3</v>
      </c>
      <c r="F997" s="2">
        <v>2.0337172000000001E-2</v>
      </c>
    </row>
    <row r="998" spans="1:6" x14ac:dyDescent="0.25">
      <c r="A998" t="s">
        <v>6</v>
      </c>
      <c r="B998" s="5" t="str">
        <f>HYPERLINK("http://www.broadinstitute.org/gsea/msigdb/cards/GOBP_REGULATION_OF_IMMUNOGLOBULIN_PRODUCTION.html","GOBP_REGULATION_OF_IMMUNOGLOBULIN_PRODUCTION")</f>
        <v>GOBP_REGULATION_OF_IMMUNOGLOBULIN_PRODUCTION</v>
      </c>
      <c r="C998" s="4">
        <v>95</v>
      </c>
      <c r="D998" s="3">
        <v>1.6838074000000001</v>
      </c>
      <c r="E998" s="1">
        <v>2.9717681000000001E-3</v>
      </c>
      <c r="F998" s="2">
        <v>2.0347279999999999E-2</v>
      </c>
    </row>
    <row r="999" spans="1:6" x14ac:dyDescent="0.25">
      <c r="A999" t="s">
        <v>6</v>
      </c>
      <c r="B999" s="5" t="str">
        <f>HYPERLINK("http://www.broadinstitute.org/gsea/msigdb/cards/GOBP_REGULATION_OF_ENDOTHELIAL_CELL_DIFFERENTIATION.html","GOBP_REGULATION_OF_ENDOTHELIAL_CELL_DIFFERENTIATION")</f>
        <v>GOBP_REGULATION_OF_ENDOTHELIAL_CELL_DIFFERENTIATION</v>
      </c>
      <c r="C999" s="4">
        <v>42</v>
      </c>
      <c r="D999" s="3">
        <v>1.683249</v>
      </c>
      <c r="E999" s="1">
        <v>3.4129692000000001E-3</v>
      </c>
      <c r="F999" s="2">
        <v>2.0429077E-2</v>
      </c>
    </row>
    <row r="1000" spans="1:6" x14ac:dyDescent="0.25">
      <c r="A1000" t="s">
        <v>6</v>
      </c>
      <c r="B1000" s="5" t="str">
        <f>HYPERLINK("http://www.broadinstitute.org/gsea/msigdb/cards/GOBP_CELLULAR_RESPONSE_TO_INTERFERON_ALPHA.html","GOBP_CELLULAR_RESPONSE_TO_INTERFERON_ALPHA")</f>
        <v>GOBP_CELLULAR_RESPONSE_TO_INTERFERON_ALPHA</v>
      </c>
      <c r="C1000" s="4">
        <v>19</v>
      </c>
      <c r="D1000" s="3">
        <v>1.6830944000000001</v>
      </c>
      <c r="E1000" s="1">
        <v>6.9324089999999996E-3</v>
      </c>
      <c r="F1000" s="2">
        <v>2.0441162999999998E-2</v>
      </c>
    </row>
    <row r="1001" spans="1:6" x14ac:dyDescent="0.25">
      <c r="A1001" t="s">
        <v>10</v>
      </c>
      <c r="B1001" s="5" t="str">
        <f>HYPERLINK("http://www.broadinstitute.org/gsea/msigdb/cards/REACTOME_N_GLYCAN_ANTENNAE_ELONGATION_IN_THE_MEDIAL_TRANS_GOLGI.html","REACTOME_N_GLYCAN_ANTENNAE_ELONGATION_IN_THE_MEDIAL_TRANS_GOLGI")</f>
        <v>REACTOME_N_GLYCAN_ANTENNAE_ELONGATION_IN_THE_MEDIAL_TRANS_GOLGI</v>
      </c>
      <c r="C1001" s="4">
        <v>23</v>
      </c>
      <c r="D1001" s="3">
        <v>1.6827631000000001</v>
      </c>
      <c r="E1001" s="1">
        <v>6.9930069999999999E-3</v>
      </c>
      <c r="F1001" s="2">
        <v>2.0485685999999999E-2</v>
      </c>
    </row>
    <row r="1002" spans="1:6" x14ac:dyDescent="0.25">
      <c r="A1002" t="s">
        <v>6</v>
      </c>
      <c r="B1002" s="5" t="str">
        <f>HYPERLINK("http://www.broadinstitute.org/gsea/msigdb/cards/GOBP_REGULATION_OF_MONOATOMIC_ANION_TRANSPORT.html","GOBP_REGULATION_OF_MONOATOMIC_ANION_TRANSPORT")</f>
        <v>GOBP_REGULATION_OF_MONOATOMIC_ANION_TRANSPORT</v>
      </c>
      <c r="C1002" s="4">
        <v>25</v>
      </c>
      <c r="D1002" s="3">
        <v>1.6824517000000001</v>
      </c>
      <c r="E1002" s="1">
        <v>3.3955857999999998E-3</v>
      </c>
      <c r="F1002" s="2">
        <v>2.0529186000000001E-2</v>
      </c>
    </row>
    <row r="1003" spans="1:6" x14ac:dyDescent="0.25">
      <c r="A1003" t="s">
        <v>6</v>
      </c>
      <c r="B1003" s="5" t="str">
        <f>HYPERLINK("http://www.broadinstitute.org/gsea/msigdb/cards/GOBP_NITRIC_OXIDE_SYNTHASE_BIOSYNTHETIC_PROCESS.html","GOBP_NITRIC_OXIDE_SYNTHASE_BIOSYNTHETIC_PROCESS")</f>
        <v>GOBP_NITRIC_OXIDE_SYNTHASE_BIOSYNTHETIC_PROCESS</v>
      </c>
      <c r="C1003" s="4">
        <v>28</v>
      </c>
      <c r="D1003" s="3">
        <v>1.6819483</v>
      </c>
      <c r="E1003" s="1">
        <v>6.9686410000000002E-3</v>
      </c>
      <c r="F1003" s="2">
        <v>2.0615742999999999E-2</v>
      </c>
    </row>
    <row r="1004" spans="1:6" x14ac:dyDescent="0.25">
      <c r="A1004" t="s">
        <v>6</v>
      </c>
      <c r="B1004" s="5" t="str">
        <f>HYPERLINK("http://www.broadinstitute.org/gsea/msigdb/cards/GOBP_POSITIVE_REGULATION_OF_WOUND_HEALING.html","GOBP_POSITIVE_REGULATION_OF_WOUND_HEALING")</f>
        <v>GOBP_POSITIVE_REGULATION_OF_WOUND_HEALING</v>
      </c>
      <c r="C1004" s="4">
        <v>61</v>
      </c>
      <c r="D1004" s="3">
        <v>1.6817385</v>
      </c>
      <c r="E1004" s="1">
        <v>0</v>
      </c>
      <c r="F1004" s="2">
        <v>2.0638508999999999E-2</v>
      </c>
    </row>
    <row r="1005" spans="1:6" x14ac:dyDescent="0.25">
      <c r="A1005" t="s">
        <v>6</v>
      </c>
      <c r="B1005" s="5" t="str">
        <f>HYPERLINK("http://www.broadinstitute.org/gsea/msigdb/cards/GOBP_NEGATIVE_REGULATION_OF_PHAGOCYTOSIS.html","GOBP_NEGATIVE_REGULATION_OF_PHAGOCYTOSIS")</f>
        <v>GOBP_NEGATIVE_REGULATION_OF_PHAGOCYTOSIS</v>
      </c>
      <c r="C1005" s="4">
        <v>27</v>
      </c>
      <c r="D1005" s="3">
        <v>1.6813667999999999</v>
      </c>
      <c r="E1005" s="1">
        <v>3.4965034999999999E-3</v>
      </c>
      <c r="F1005" s="2">
        <v>2.0703215000000001E-2</v>
      </c>
    </row>
    <row r="1006" spans="1:6" x14ac:dyDescent="0.25">
      <c r="A1006" t="s">
        <v>10</v>
      </c>
      <c r="B1006" s="5" t="str">
        <f>HYPERLINK("http://www.broadinstitute.org/gsea/msigdb/cards/REACTOME_SYNTHESIS_OF_PIPS_AT_THE_PLASMA_MEMBRANE.html","REACTOME_SYNTHESIS_OF_PIPS_AT_THE_PLASMA_MEMBRANE")</f>
        <v>REACTOME_SYNTHESIS_OF_PIPS_AT_THE_PLASMA_MEMBRANE</v>
      </c>
      <c r="C1006" s="4">
        <v>50</v>
      </c>
      <c r="D1006" s="3">
        <v>1.6810274999999999</v>
      </c>
      <c r="E1006" s="1">
        <v>6.5466450000000002E-3</v>
      </c>
      <c r="F1006" s="2">
        <v>2.0764777000000002E-2</v>
      </c>
    </row>
    <row r="1007" spans="1:6" x14ac:dyDescent="0.25">
      <c r="A1007" t="s">
        <v>10</v>
      </c>
      <c r="B1007" s="5" t="str">
        <f>HYPERLINK("http://www.broadinstitute.org/gsea/msigdb/cards/REACTOME_ADP_SIGNALLING_THROUGH_P2Y_PURINOCEPTOR_12.html","REACTOME_ADP_SIGNALLING_THROUGH_P2Y_PURINOCEPTOR_12")</f>
        <v>REACTOME_ADP_SIGNALLING_THROUGH_P2Y_PURINOCEPTOR_12</v>
      </c>
      <c r="C1007" s="4">
        <v>21</v>
      </c>
      <c r="D1007" s="3">
        <v>1.6810130999999999</v>
      </c>
      <c r="E1007" s="1">
        <v>8.1967210000000006E-3</v>
      </c>
      <c r="F1007" s="2">
        <v>2.0747340999999999E-2</v>
      </c>
    </row>
    <row r="1008" spans="1:6" x14ac:dyDescent="0.25">
      <c r="A1008" t="s">
        <v>6</v>
      </c>
      <c r="B1008" s="5" t="str">
        <f>HYPERLINK("http://www.broadinstitute.org/gsea/msigdb/cards/GOBP_POSITIVE_REGULATION_OF_ACTIN_FILAMENT_POLYMERIZATION.html","GOBP_POSITIVE_REGULATION_OF_ACTIN_FILAMENT_POLYMERIZATION")</f>
        <v>GOBP_POSITIVE_REGULATION_OF_ACTIN_FILAMENT_POLYMERIZATION</v>
      </c>
      <c r="C1008" s="4">
        <v>53</v>
      </c>
      <c r="D1008" s="3">
        <v>1.680742</v>
      </c>
      <c r="E1008" s="1">
        <v>4.9423393999999997E-3</v>
      </c>
      <c r="F1008" s="2">
        <v>2.0768708E-2</v>
      </c>
    </row>
    <row r="1009" spans="1:6" x14ac:dyDescent="0.25">
      <c r="A1009" t="s">
        <v>6</v>
      </c>
      <c r="B1009" s="5" t="str">
        <f>HYPERLINK("http://www.broadinstitute.org/gsea/msigdb/cards/GOBP_NEGATIVE_REGULATION_OF_ENDOTHELIAL_CELL_APOPTOTIC_PROCESS.html","GOBP_NEGATIVE_REGULATION_OF_ENDOTHELIAL_CELL_APOPTOTIC_PROCESS")</f>
        <v>GOBP_NEGATIVE_REGULATION_OF_ENDOTHELIAL_CELL_APOPTOTIC_PROCESS</v>
      </c>
      <c r="C1009" s="4">
        <v>33</v>
      </c>
      <c r="D1009" s="3">
        <v>1.6803267</v>
      </c>
      <c r="E1009" s="1">
        <v>6.7001674000000001E-3</v>
      </c>
      <c r="F1009" s="2">
        <v>2.081268E-2</v>
      </c>
    </row>
    <row r="1010" spans="1:6" x14ac:dyDescent="0.25">
      <c r="A1010" t="s">
        <v>10</v>
      </c>
      <c r="B1010" s="5" t="str">
        <f>HYPERLINK("http://www.broadinstitute.org/gsea/msigdb/cards/REACTOME_CYTOKINE_SIGNALING_IN_IMMUNE_SYSTEM.html","REACTOME_CYTOKINE_SIGNALING_IN_IMMUNE_SYSTEM")</f>
        <v>REACTOME_CYTOKINE_SIGNALING_IN_IMMUNE_SYSTEM</v>
      </c>
      <c r="C1010" s="4">
        <v>437</v>
      </c>
      <c r="D1010" s="3">
        <v>1.6785277999999999</v>
      </c>
      <c r="E1010" s="1">
        <v>0</v>
      </c>
      <c r="F1010" s="2">
        <v>2.1161198999999999E-2</v>
      </c>
    </row>
    <row r="1011" spans="1:6" x14ac:dyDescent="0.25">
      <c r="A1011" t="s">
        <v>6</v>
      </c>
      <c r="B1011" s="5" t="str">
        <f>HYPERLINK("http://www.broadinstitute.org/gsea/msigdb/cards/GOBP_FATTY_ACID_DERIVATIVE_BIOSYNTHETIC_PROCESS.html","GOBP_FATTY_ACID_DERIVATIVE_BIOSYNTHETIC_PROCESS")</f>
        <v>GOBP_FATTY_ACID_DERIVATIVE_BIOSYNTHETIC_PROCESS</v>
      </c>
      <c r="C1011" s="4">
        <v>19</v>
      </c>
      <c r="D1011" s="3">
        <v>1.677859</v>
      </c>
      <c r="E1011" s="1">
        <v>1.6583747999999999E-2</v>
      </c>
      <c r="F1011" s="2">
        <v>2.1269122000000001E-2</v>
      </c>
    </row>
    <row r="1012" spans="1:6" x14ac:dyDescent="0.25">
      <c r="A1012" t="s">
        <v>10</v>
      </c>
      <c r="B1012" s="5" t="str">
        <f>HYPERLINK("http://www.broadinstitute.org/gsea/msigdb/cards/REACTOME_DAP12_SIGNALING.html","REACTOME_DAP12_SIGNALING")</f>
        <v>REACTOME_DAP12_SIGNALING</v>
      </c>
      <c r="C1012" s="4">
        <v>28</v>
      </c>
      <c r="D1012" s="3">
        <v>1.6776656000000001</v>
      </c>
      <c r="E1012" s="1">
        <v>6.6334990000000002E-3</v>
      </c>
      <c r="F1012" s="2">
        <v>2.1287805999999999E-2</v>
      </c>
    </row>
    <row r="1013" spans="1:6" x14ac:dyDescent="0.25">
      <c r="A1013" t="s">
        <v>6</v>
      </c>
      <c r="B1013" s="5" t="str">
        <f>HYPERLINK("http://www.broadinstitute.org/gsea/msigdb/cards/GOBP_REGULATION_OF_PROGRAMMED_NECROTIC_CELL_DEATH.html","GOBP_REGULATION_OF_PROGRAMMED_NECROTIC_CELL_DEATH")</f>
        <v>GOBP_REGULATION_OF_PROGRAMMED_NECROTIC_CELL_DEATH</v>
      </c>
      <c r="C1013" s="4">
        <v>28</v>
      </c>
      <c r="D1013" s="3">
        <v>1.6776325000000001</v>
      </c>
      <c r="E1013" s="1">
        <v>1.1864407E-2</v>
      </c>
      <c r="F1013" s="2">
        <v>2.1277467000000001E-2</v>
      </c>
    </row>
    <row r="1014" spans="1:6" x14ac:dyDescent="0.25">
      <c r="A1014" t="s">
        <v>6</v>
      </c>
      <c r="B1014" s="5" t="str">
        <f>HYPERLINK("http://www.broadinstitute.org/gsea/msigdb/cards/GOBP_B_CELL_ACTIVATION_INVOLVED_IN_IMMUNE_RESPONSE.html","GOBP_B_CELL_ACTIVATION_INVOLVED_IN_IMMUNE_RESPONSE")</f>
        <v>GOBP_B_CELL_ACTIVATION_INVOLVED_IN_IMMUNE_RESPONSE</v>
      </c>
      <c r="C1014" s="4">
        <v>93</v>
      </c>
      <c r="D1014" s="3">
        <v>1.6773716999999999</v>
      </c>
      <c r="E1014" s="1">
        <v>1.5649451999999999E-3</v>
      </c>
      <c r="F1014" s="2">
        <v>2.1309894999999999E-2</v>
      </c>
    </row>
    <row r="1015" spans="1:6" x14ac:dyDescent="0.25">
      <c r="A1015" t="s">
        <v>7</v>
      </c>
      <c r="B1015" s="5" t="str">
        <f>HYPERLINK("http://www.broadinstitute.org/gsea/msigdb/cards/GOCC_PLASMA_MEMBRANE_RAFT.html","GOCC_PLASMA_MEMBRANE_RAFT")</f>
        <v>GOCC_PLASMA_MEMBRANE_RAFT</v>
      </c>
      <c r="C1015" s="4">
        <v>133</v>
      </c>
      <c r="D1015" s="3">
        <v>1.6764281999999999</v>
      </c>
      <c r="E1015" s="1">
        <v>0</v>
      </c>
      <c r="F1015" s="2">
        <v>2.1478272999999999E-2</v>
      </c>
    </row>
    <row r="1016" spans="1:6" x14ac:dyDescent="0.25">
      <c r="A1016" t="s">
        <v>6</v>
      </c>
      <c r="B1016" s="5" t="str">
        <f>HYPERLINK("http://www.broadinstitute.org/gsea/msigdb/cards/GOBP_BEHAVIORAL_RESPONSE_TO_PAIN.html","GOBP_BEHAVIORAL_RESPONSE_TO_PAIN")</f>
        <v>GOBP_BEHAVIORAL_RESPONSE_TO_PAIN</v>
      </c>
      <c r="C1016" s="4">
        <v>31</v>
      </c>
      <c r="D1016" s="3">
        <v>1.6760268</v>
      </c>
      <c r="E1016" s="1">
        <v>9.8522169999999999E-3</v>
      </c>
      <c r="F1016" s="2">
        <v>2.1541306999999999E-2</v>
      </c>
    </row>
    <row r="1017" spans="1:6" x14ac:dyDescent="0.25">
      <c r="A1017" t="s">
        <v>6</v>
      </c>
      <c r="B1017" s="5" t="str">
        <f>HYPERLINK("http://www.broadinstitute.org/gsea/msigdb/cards/GOBP_REGULATION_OF_RESPIRATORY_BURST.html","GOBP_REGULATION_OF_RESPIRATORY_BURST")</f>
        <v>GOBP_REGULATION_OF_RESPIRATORY_BURST</v>
      </c>
      <c r="C1017" s="4">
        <v>15</v>
      </c>
      <c r="D1017" s="3">
        <v>1.6756169999999999</v>
      </c>
      <c r="E1017" s="1">
        <v>1.02214655E-2</v>
      </c>
      <c r="F1017" s="2">
        <v>2.1592610000000002E-2</v>
      </c>
    </row>
    <row r="1018" spans="1:6" x14ac:dyDescent="0.25">
      <c r="A1018" t="s">
        <v>8</v>
      </c>
      <c r="B1018" s="5" t="str">
        <f>HYPERLINK("http://www.broadinstitute.org/gsea/msigdb/cards/GOMF_ARP2_3_COMPLEX_BINDING.html","GOMF_ARP2_3_COMPLEX_BINDING")</f>
        <v>GOMF_ARP2_3_COMPLEX_BINDING</v>
      </c>
      <c r="C1018" s="4">
        <v>16</v>
      </c>
      <c r="D1018" s="3">
        <v>1.6755799</v>
      </c>
      <c r="E1018" s="1">
        <v>8.8967969999999997E-3</v>
      </c>
      <c r="F1018" s="2">
        <v>2.1576656E-2</v>
      </c>
    </row>
    <row r="1019" spans="1:6" x14ac:dyDescent="0.25">
      <c r="A1019" t="s">
        <v>8</v>
      </c>
      <c r="B1019" s="5" t="str">
        <f>HYPERLINK("http://www.broadinstitute.org/gsea/msigdb/cards/GOMF_KINASE_ACTIVATOR_ACTIVITY.html","GOMF_KINASE_ACTIVATOR_ACTIVITY")</f>
        <v>GOMF_KINASE_ACTIVATOR_ACTIVITY</v>
      </c>
      <c r="C1019" s="4">
        <v>135</v>
      </c>
      <c r="D1019" s="3">
        <v>1.6754794</v>
      </c>
      <c r="E1019" s="1">
        <v>0</v>
      </c>
      <c r="F1019" s="2">
        <v>2.1575693E-2</v>
      </c>
    </row>
    <row r="1020" spans="1:6" x14ac:dyDescent="0.25">
      <c r="A1020" t="s">
        <v>6</v>
      </c>
      <c r="B1020" s="5" t="str">
        <f>HYPERLINK("http://www.broadinstitute.org/gsea/msigdb/cards/GOBP_FATTY_ACID_TRANSMEMBRANE_TRANSPORT.html","GOBP_FATTY_ACID_TRANSMEMBRANE_TRANSPORT")</f>
        <v>GOBP_FATTY_ACID_TRANSMEMBRANE_TRANSPORT</v>
      </c>
      <c r="C1020" s="4">
        <v>17</v>
      </c>
      <c r="D1020" s="3">
        <v>1.6754317000000001</v>
      </c>
      <c r="E1020" s="1">
        <v>1.0869564999999999E-2</v>
      </c>
      <c r="F1020" s="2">
        <v>2.1564050000000001E-2</v>
      </c>
    </row>
    <row r="1021" spans="1:6" x14ac:dyDescent="0.25">
      <c r="A1021" t="s">
        <v>6</v>
      </c>
      <c r="B1021" s="5" t="str">
        <f>HYPERLINK("http://www.broadinstitute.org/gsea/msigdb/cards/GOBP_ADENYLATE_CYCLASE_INHIBITING_G_PROTEIN_COUPLED_RECEPTOR_SIGNALING_PATHWAY.html","GOBP_ADENYLATE_CYCLASE_INHIBITING_G_PROTEIN_COUPLED_RECEPTOR_SIGNALING_PATHWAY")</f>
        <v>GOBP_ADENYLATE_CYCLASE_INHIBITING_G_PROTEIN_COUPLED_RECEPTOR_SIGNALING_PATHWAY</v>
      </c>
      <c r="C1021" s="4">
        <v>68</v>
      </c>
      <c r="D1021" s="3">
        <v>1.675271</v>
      </c>
      <c r="E1021" s="1">
        <v>1.6155089E-3</v>
      </c>
      <c r="F1021" s="2">
        <v>2.1567415E-2</v>
      </c>
    </row>
    <row r="1022" spans="1:6" x14ac:dyDescent="0.25">
      <c r="A1022" t="s">
        <v>6</v>
      </c>
      <c r="B1022" s="5" t="str">
        <f>HYPERLINK("http://www.broadinstitute.org/gsea/msigdb/cards/GOBP_POSITIVE_REGULATION_OF_CELL_ADHESION_MEDIATED_BY_INTEGRIN.html","GOBP_POSITIVE_REGULATION_OF_CELL_ADHESION_MEDIATED_BY_INTEGRIN")</f>
        <v>GOBP_POSITIVE_REGULATION_OF_CELL_ADHESION_MEDIATED_BY_INTEGRIN</v>
      </c>
      <c r="C1022" s="4">
        <v>21</v>
      </c>
      <c r="D1022" s="3">
        <v>1.6746665999999999</v>
      </c>
      <c r="E1022" s="1">
        <v>1.3311148E-2</v>
      </c>
      <c r="F1022" s="2">
        <v>2.1686574E-2</v>
      </c>
    </row>
    <row r="1023" spans="1:6" x14ac:dyDescent="0.25">
      <c r="A1023" t="s">
        <v>6</v>
      </c>
      <c r="B1023" s="5" t="str">
        <f>HYPERLINK("http://www.broadinstitute.org/gsea/msigdb/cards/GOBP_NON_CANONICAL_NF_KAPPAB_SIGNAL_TRANSDUCTION.html","GOBP_NON_CANONICAL_NF_KAPPAB_SIGNAL_TRANSDUCTION")</f>
        <v>GOBP_NON_CANONICAL_NF_KAPPAB_SIGNAL_TRANSDUCTION</v>
      </c>
      <c r="C1023" s="4">
        <v>120</v>
      </c>
      <c r="D1023" s="3">
        <v>1.6739402999999999</v>
      </c>
      <c r="E1023" s="1">
        <v>1.4880952999999999E-3</v>
      </c>
      <c r="F1023" s="2">
        <v>2.1812967999999999E-2</v>
      </c>
    </row>
    <row r="1024" spans="1:6" x14ac:dyDescent="0.25">
      <c r="A1024" t="s">
        <v>8</v>
      </c>
      <c r="B1024" s="5" t="str">
        <f>HYPERLINK("http://www.broadinstitute.org/gsea/msigdb/cards/GOMF_GUANYL_NUCLEOTIDE_EXCHANGE_FACTOR_ACTIVITY.html","GOMF_GUANYL_NUCLEOTIDE_EXCHANGE_FACTOR_ACTIVITY")</f>
        <v>GOMF_GUANYL_NUCLEOTIDE_EXCHANGE_FACTOR_ACTIVITY</v>
      </c>
      <c r="C1024" s="4">
        <v>202</v>
      </c>
      <c r="D1024" s="3">
        <v>1.6729236000000001</v>
      </c>
      <c r="E1024" s="1">
        <v>0</v>
      </c>
      <c r="F1024" s="2">
        <v>2.2023961000000002E-2</v>
      </c>
    </row>
    <row r="1025" spans="1:6" x14ac:dyDescent="0.25">
      <c r="A1025" t="s">
        <v>10</v>
      </c>
      <c r="B1025" s="5" t="str">
        <f>HYPERLINK("http://www.broadinstitute.org/gsea/msigdb/cards/REACTOME_SIGNALING_BY_INTERLEUKINS.html","REACTOME_SIGNALING_BY_INTERLEUKINS")</f>
        <v>REACTOME_SIGNALING_BY_INTERLEUKINS</v>
      </c>
      <c r="C1025" s="4">
        <v>265</v>
      </c>
      <c r="D1025" s="3">
        <v>1.6705397</v>
      </c>
      <c r="E1025" s="1">
        <v>0</v>
      </c>
      <c r="F1025" s="2">
        <v>2.2541144999999999E-2</v>
      </c>
    </row>
    <row r="1026" spans="1:6" x14ac:dyDescent="0.25">
      <c r="A1026" t="s">
        <v>6</v>
      </c>
      <c r="B1026" s="5" t="str">
        <f>HYPERLINK("http://www.broadinstitute.org/gsea/msigdb/cards/GOBP_POSITIVE_REGULATION_OF_PROTEOLYSIS.html","GOBP_POSITIVE_REGULATION_OF_PROTEOLYSIS")</f>
        <v>GOBP_POSITIVE_REGULATION_OF_PROTEOLYSIS</v>
      </c>
      <c r="C1026" s="4">
        <v>358</v>
      </c>
      <c r="D1026" s="3">
        <v>1.6704947000000001</v>
      </c>
      <c r="E1026" s="1">
        <v>0</v>
      </c>
      <c r="F1026" s="2">
        <v>2.2530735E-2</v>
      </c>
    </row>
    <row r="1027" spans="1:6" x14ac:dyDescent="0.25">
      <c r="A1027" t="s">
        <v>6</v>
      </c>
      <c r="B1027" s="5" t="str">
        <f>HYPERLINK("http://www.broadinstitute.org/gsea/msigdb/cards/GOBP_REGULATION_OF_RECEPTOR_BINDING.html","GOBP_REGULATION_OF_RECEPTOR_BINDING")</f>
        <v>GOBP_REGULATION_OF_RECEPTOR_BINDING</v>
      </c>
      <c r="C1027" s="4">
        <v>23</v>
      </c>
      <c r="D1027" s="3">
        <v>1.6697526</v>
      </c>
      <c r="E1027" s="1">
        <v>8.6206900000000003E-3</v>
      </c>
      <c r="F1027" s="2">
        <v>2.2696804000000001E-2</v>
      </c>
    </row>
    <row r="1028" spans="1:6" x14ac:dyDescent="0.25">
      <c r="A1028" t="s">
        <v>6</v>
      </c>
      <c r="B1028" s="5" t="str">
        <f>HYPERLINK("http://www.broadinstitute.org/gsea/msigdb/cards/GOBP_POSITIVE_REGULATION_OF_RESPONSE_TO_ENDOPLASMIC_RETICULUM_STRESS.html","GOBP_POSITIVE_REGULATION_OF_RESPONSE_TO_ENDOPLASMIC_RETICULUM_STRESS")</f>
        <v>GOBP_POSITIVE_REGULATION_OF_RESPONSE_TO_ENDOPLASMIC_RETICULUM_STRESS</v>
      </c>
      <c r="C1028" s="4">
        <v>34</v>
      </c>
      <c r="D1028" s="3">
        <v>1.669538</v>
      </c>
      <c r="E1028" s="1">
        <v>9.0090090000000001E-3</v>
      </c>
      <c r="F1028" s="2">
        <v>2.2732845000000002E-2</v>
      </c>
    </row>
    <row r="1029" spans="1:6" x14ac:dyDescent="0.25">
      <c r="A1029" t="s">
        <v>6</v>
      </c>
      <c r="B1029" s="5" t="str">
        <f>HYPERLINK("http://www.broadinstitute.org/gsea/msigdb/cards/GOBP_TYPE_II_HYPERSENSITIVITY.html","GOBP_TYPE_II_HYPERSENSITIVITY")</f>
        <v>GOBP_TYPE_II_HYPERSENSITIVITY</v>
      </c>
      <c r="C1029" s="4">
        <v>18</v>
      </c>
      <c r="D1029" s="3">
        <v>1.6693335</v>
      </c>
      <c r="E1029" s="1">
        <v>1.54639175E-2</v>
      </c>
      <c r="F1029" s="2">
        <v>2.2758178E-2</v>
      </c>
    </row>
    <row r="1030" spans="1:6" x14ac:dyDescent="0.25">
      <c r="A1030" t="s">
        <v>8</v>
      </c>
      <c r="B1030" s="5" t="str">
        <f>HYPERLINK("http://www.broadinstitute.org/gsea/msigdb/cards/GOMF_TRANSFORMING_GROWTH_FACTOR_BETA_RECEPTOR_BINDING.html","GOMF_TRANSFORMING_GROWTH_FACTOR_BETA_RECEPTOR_BINDING")</f>
        <v>GOMF_TRANSFORMING_GROWTH_FACTOR_BETA_RECEPTOR_BINDING</v>
      </c>
      <c r="C1030" s="4">
        <v>28</v>
      </c>
      <c r="D1030" s="3">
        <v>1.6689379</v>
      </c>
      <c r="E1030" s="1">
        <v>6.9444444999999999E-3</v>
      </c>
      <c r="F1030" s="2">
        <v>2.2821643999999999E-2</v>
      </c>
    </row>
    <row r="1031" spans="1:6" x14ac:dyDescent="0.25">
      <c r="A1031" t="s">
        <v>6</v>
      </c>
      <c r="B1031" s="5" t="str">
        <f>HYPERLINK("http://www.broadinstitute.org/gsea/msigdb/cards/GOBP_REGULATION_OF_ICOSANOID_SECRETION.html","GOBP_REGULATION_OF_ICOSANOID_SECRETION")</f>
        <v>GOBP_REGULATION_OF_ICOSANOID_SECRETION</v>
      </c>
      <c r="C1031" s="4">
        <v>26</v>
      </c>
      <c r="D1031" s="3">
        <v>1.6673552</v>
      </c>
      <c r="E1031" s="1">
        <v>4.8859934000000001E-3</v>
      </c>
      <c r="F1031" s="2">
        <v>2.3156669000000001E-2</v>
      </c>
    </row>
    <row r="1032" spans="1:6" x14ac:dyDescent="0.25">
      <c r="A1032" t="s">
        <v>6</v>
      </c>
      <c r="B1032" s="5" t="str">
        <f>HYPERLINK("http://www.broadinstitute.org/gsea/msigdb/cards/GOBP_PROSTAGLANDIN_TRANSPORT.html","GOBP_PROSTAGLANDIN_TRANSPORT")</f>
        <v>GOBP_PROSTAGLANDIN_TRANSPORT</v>
      </c>
      <c r="C1032" s="4">
        <v>30</v>
      </c>
      <c r="D1032" s="3">
        <v>1.6672117</v>
      </c>
      <c r="E1032" s="1">
        <v>6.7681894000000001E-3</v>
      </c>
      <c r="F1032" s="2">
        <v>2.3166828E-2</v>
      </c>
    </row>
    <row r="1033" spans="1:6" x14ac:dyDescent="0.25">
      <c r="A1033" t="s">
        <v>6</v>
      </c>
      <c r="B1033" s="5" t="str">
        <f>HYPERLINK("http://www.broadinstitute.org/gsea/msigdb/cards/GOBP_RESPONSE_TO_UV_A.html","GOBP_RESPONSE_TO_UV_A")</f>
        <v>GOBP_RESPONSE_TO_UV_A</v>
      </c>
      <c r="C1033" s="4">
        <v>15</v>
      </c>
      <c r="D1033" s="3">
        <v>1.6671175</v>
      </c>
      <c r="E1033" s="1">
        <v>1.23893805E-2</v>
      </c>
      <c r="F1033" s="2">
        <v>2.3159068000000001E-2</v>
      </c>
    </row>
    <row r="1034" spans="1:6" x14ac:dyDescent="0.25">
      <c r="A1034" t="s">
        <v>6</v>
      </c>
      <c r="B1034" s="5" t="str">
        <f>HYPERLINK("http://www.broadinstitute.org/gsea/msigdb/cards/GOBP_SEROTONIN_SECRETION.html","GOBP_SEROTONIN_SECRETION")</f>
        <v>GOBP_SEROTONIN_SECRETION</v>
      </c>
      <c r="C1034" s="4">
        <v>17</v>
      </c>
      <c r="D1034" s="3">
        <v>1.6663087999999999</v>
      </c>
      <c r="E1034" s="1">
        <v>5.0933784999999997E-3</v>
      </c>
      <c r="F1034" s="2">
        <v>2.3330991999999998E-2</v>
      </c>
    </row>
    <row r="1035" spans="1:6" x14ac:dyDescent="0.25">
      <c r="A1035" t="s">
        <v>8</v>
      </c>
      <c r="B1035" s="5" t="str">
        <f>HYPERLINK("http://www.broadinstitute.org/gsea/msigdb/cards/GOMF_POLYPEPTIDE_N_ACETYLGALACTOSAMINYLTRANSFERASE_ACTIVITY.html","GOMF_POLYPEPTIDE_N_ACETYLGALACTOSAMINYLTRANSFERASE_ACTIVITY")</f>
        <v>GOMF_POLYPEPTIDE_N_ACETYLGALACTOSAMINYLTRANSFERASE_ACTIVITY</v>
      </c>
      <c r="C1035" s="4">
        <v>18</v>
      </c>
      <c r="D1035" s="3">
        <v>1.6659514</v>
      </c>
      <c r="E1035" s="1">
        <v>1.3559322E-2</v>
      </c>
      <c r="F1035" s="2">
        <v>2.3394397000000001E-2</v>
      </c>
    </row>
    <row r="1036" spans="1:6" x14ac:dyDescent="0.25">
      <c r="A1036" t="s">
        <v>6</v>
      </c>
      <c r="B1036" s="5" t="str">
        <f>HYPERLINK("http://www.broadinstitute.org/gsea/msigdb/cards/GOBP_IRON_ION_TRANSPORT.html","GOBP_IRON_ION_TRANSPORT")</f>
        <v>GOBP_IRON_ION_TRANSPORT</v>
      </c>
      <c r="C1036" s="4">
        <v>57</v>
      </c>
      <c r="D1036" s="3">
        <v>1.6655325000000001</v>
      </c>
      <c r="E1036" s="1">
        <v>3.2362459999999999E-3</v>
      </c>
      <c r="F1036" s="2">
        <v>2.3471287E-2</v>
      </c>
    </row>
    <row r="1037" spans="1:6" x14ac:dyDescent="0.25">
      <c r="A1037" t="s">
        <v>6</v>
      </c>
      <c r="B1037" s="5" t="str">
        <f>HYPERLINK("http://www.broadinstitute.org/gsea/msigdb/cards/GOBP_T_CELL_DIFFERENTIATION_INVOLVED_IN_IMMUNE_RESPONSE.html","GOBP_T_CELL_DIFFERENTIATION_INVOLVED_IN_IMMUNE_RESPONSE")</f>
        <v>GOBP_T_CELL_DIFFERENTIATION_INVOLVED_IN_IMMUNE_RESPONSE</v>
      </c>
      <c r="C1037" s="4">
        <v>80</v>
      </c>
      <c r="D1037" s="3">
        <v>1.6644734999999999</v>
      </c>
      <c r="E1037" s="1">
        <v>0</v>
      </c>
      <c r="F1037" s="2">
        <v>2.3708536999999998E-2</v>
      </c>
    </row>
    <row r="1038" spans="1:6" x14ac:dyDescent="0.25">
      <c r="A1038" t="s">
        <v>6</v>
      </c>
      <c r="B1038" s="5" t="str">
        <f>HYPERLINK("http://www.broadinstitute.org/gsea/msigdb/cards/GOBP_CELLULAR_RESPONSE_TO_TOPOLOGICALLY_INCORRECT_PROTEIN.html","GOBP_CELLULAR_RESPONSE_TO_TOPOLOGICALLY_INCORRECT_PROTEIN")</f>
        <v>GOBP_CELLULAR_RESPONSE_TO_TOPOLOGICALLY_INCORRECT_PROTEIN</v>
      </c>
      <c r="C1038" s="4">
        <v>101</v>
      </c>
      <c r="D1038" s="3">
        <v>1.6641284999999999</v>
      </c>
      <c r="E1038" s="1">
        <v>0</v>
      </c>
      <c r="F1038" s="2">
        <v>2.3758903000000001E-2</v>
      </c>
    </row>
    <row r="1039" spans="1:6" x14ac:dyDescent="0.25">
      <c r="A1039" t="s">
        <v>6</v>
      </c>
      <c r="B1039" s="5" t="str">
        <f>HYPERLINK("http://www.broadinstitute.org/gsea/msigdb/cards/GOBP_POSITIVE_REGULATION_OF_MAST_CELL_ACTIVATION.html","GOBP_POSITIVE_REGULATION_OF_MAST_CELL_ACTIVATION")</f>
        <v>GOBP_POSITIVE_REGULATION_OF_MAST_CELL_ACTIVATION</v>
      </c>
      <c r="C1039" s="4">
        <v>32</v>
      </c>
      <c r="D1039" s="3">
        <v>1.6636628</v>
      </c>
      <c r="E1039" s="1">
        <v>3.4364261999999999E-3</v>
      </c>
      <c r="F1039" s="2">
        <v>2.3845641000000001E-2</v>
      </c>
    </row>
    <row r="1040" spans="1:6" x14ac:dyDescent="0.25">
      <c r="A1040" t="s">
        <v>10</v>
      </c>
      <c r="B1040" s="5" t="str">
        <f>HYPERLINK("http://www.broadinstitute.org/gsea/msigdb/cards/REACTOME_TOLL_LIKE_RECEPTOR_9_TLR9_CASCADE.html","REACTOME_TOLL_LIKE_RECEPTOR_9_TLR9_CASCADE")</f>
        <v>REACTOME_TOLL_LIKE_RECEPTOR_9_TLR9_CASCADE</v>
      </c>
      <c r="C1040" s="4">
        <v>93</v>
      </c>
      <c r="D1040" s="3">
        <v>1.6634374000000001</v>
      </c>
      <c r="E1040" s="1">
        <v>1.4992504000000001E-3</v>
      </c>
      <c r="F1040" s="2">
        <v>2.3875797000000001E-2</v>
      </c>
    </row>
    <row r="1041" spans="1:6" x14ac:dyDescent="0.25">
      <c r="A1041" t="s">
        <v>6</v>
      </c>
      <c r="B1041" s="5" t="str">
        <f>HYPERLINK("http://www.broadinstitute.org/gsea/msigdb/cards/GOBP_REGULATION_OF_OXIDOREDUCTASE_ACTIVITY.html","GOBP_REGULATION_OF_OXIDOREDUCTASE_ACTIVITY")</f>
        <v>GOBP_REGULATION_OF_OXIDOREDUCTASE_ACTIVITY</v>
      </c>
      <c r="C1041" s="4">
        <v>90</v>
      </c>
      <c r="D1041" s="3">
        <v>1.6619238000000001</v>
      </c>
      <c r="E1041" s="1">
        <v>0</v>
      </c>
      <c r="F1041" s="2">
        <v>2.4227357000000001E-2</v>
      </c>
    </row>
    <row r="1042" spans="1:6" x14ac:dyDescent="0.25">
      <c r="A1042" t="s">
        <v>6</v>
      </c>
      <c r="B1042" s="5" t="str">
        <f>HYPERLINK("http://www.broadinstitute.org/gsea/msigdb/cards/GOBP_REGULATION_OF_INOSITOL_PHOSPHATE_BIOSYNTHETIC_PROCESS.html","GOBP_REGULATION_OF_INOSITOL_PHOSPHATE_BIOSYNTHETIC_PROCESS")</f>
        <v>GOBP_REGULATION_OF_INOSITOL_PHOSPHATE_BIOSYNTHETIC_PROCESS</v>
      </c>
      <c r="C1042" s="4">
        <v>17</v>
      </c>
      <c r="D1042" s="3">
        <v>1.6618724</v>
      </c>
      <c r="E1042" s="1">
        <v>8.8809939999999997E-3</v>
      </c>
      <c r="F1042" s="2">
        <v>2.4219734999999999E-2</v>
      </c>
    </row>
    <row r="1043" spans="1:6" x14ac:dyDescent="0.25">
      <c r="A1043" t="s">
        <v>6</v>
      </c>
      <c r="B1043" s="5" t="str">
        <f>HYPERLINK("http://www.broadinstitute.org/gsea/msigdb/cards/GOBP_GRANULOCYTE_MACROPHAGE_COLONY_STIMULATING_FACTOR_PRODUCTION.html","GOBP_GRANULOCYTE_MACROPHAGE_COLONY_STIMULATING_FACTOR_PRODUCTION")</f>
        <v>GOBP_GRANULOCYTE_MACROPHAGE_COLONY_STIMULATING_FACTOR_PRODUCTION</v>
      </c>
      <c r="C1043" s="4">
        <v>17</v>
      </c>
      <c r="D1043" s="3">
        <v>1.6610198</v>
      </c>
      <c r="E1043" s="1">
        <v>1.2131716000000001E-2</v>
      </c>
      <c r="F1043" s="2">
        <v>2.4399592000000001E-2</v>
      </c>
    </row>
    <row r="1044" spans="1:6" x14ac:dyDescent="0.25">
      <c r="A1044" t="s">
        <v>6</v>
      </c>
      <c r="B1044" s="5" t="str">
        <f>HYPERLINK("http://www.broadinstitute.org/gsea/msigdb/cards/GOBP_POSITIVE_REGULATION_OF_LAMELLIPODIUM_ORGANIZATION.html","GOBP_POSITIVE_REGULATION_OF_LAMELLIPODIUM_ORGANIZATION")</f>
        <v>GOBP_POSITIVE_REGULATION_OF_LAMELLIPODIUM_ORGANIZATION</v>
      </c>
      <c r="C1044" s="4">
        <v>37</v>
      </c>
      <c r="D1044" s="3">
        <v>1.6609931</v>
      </c>
      <c r="E1044" s="1">
        <v>1.0169490999999999E-2</v>
      </c>
      <c r="F1044" s="2">
        <v>2.4381357999999999E-2</v>
      </c>
    </row>
    <row r="1045" spans="1:6" x14ac:dyDescent="0.25">
      <c r="A1045" t="s">
        <v>8</v>
      </c>
      <c r="B1045" s="5" t="str">
        <f>HYPERLINK("http://www.broadinstitute.org/gsea/msigdb/cards/GOMF_GUANYL_NUCLEOTIDE_BINDING.html","GOMF_GUANYL_NUCLEOTIDE_BINDING")</f>
        <v>GOMF_GUANYL_NUCLEOTIDE_BINDING</v>
      </c>
      <c r="C1045" s="4">
        <v>376</v>
      </c>
      <c r="D1045" s="3">
        <v>1.6603066</v>
      </c>
      <c r="E1045" s="1">
        <v>0</v>
      </c>
      <c r="F1045" s="2">
        <v>2.4533876999999999E-2</v>
      </c>
    </row>
    <row r="1046" spans="1:6" x14ac:dyDescent="0.25">
      <c r="A1046" t="s">
        <v>6</v>
      </c>
      <c r="B1046" s="5" t="str">
        <f>HYPERLINK("http://www.broadinstitute.org/gsea/msigdb/cards/GOBP_WOUND_HEALING_SPREADING_OF_EPIDERMAL_CELLS.html","GOBP_WOUND_HEALING_SPREADING_OF_EPIDERMAL_CELLS")</f>
        <v>GOBP_WOUND_HEALING_SPREADING_OF_EPIDERMAL_CELLS</v>
      </c>
      <c r="C1046" s="4">
        <v>20</v>
      </c>
      <c r="D1046" s="3">
        <v>1.6594362</v>
      </c>
      <c r="E1046" s="1">
        <v>8.8652479999999992E-3</v>
      </c>
      <c r="F1046" s="2">
        <v>2.472647E-2</v>
      </c>
    </row>
    <row r="1047" spans="1:6" x14ac:dyDescent="0.25">
      <c r="A1047" t="s">
        <v>6</v>
      </c>
      <c r="B1047" s="5" t="str">
        <f>HYPERLINK("http://www.broadinstitute.org/gsea/msigdb/cards/GOBP_MORPHOGENESIS_OF_AN_ENDOTHELIUM.html","GOBP_MORPHOGENESIS_OF_AN_ENDOTHELIUM")</f>
        <v>GOBP_MORPHOGENESIS_OF_AN_ENDOTHELIUM</v>
      </c>
      <c r="C1047" s="4">
        <v>19</v>
      </c>
      <c r="D1047" s="3">
        <v>1.6594361</v>
      </c>
      <c r="E1047" s="1">
        <v>6.655574E-3</v>
      </c>
      <c r="F1047" s="2">
        <v>2.4702786000000001E-2</v>
      </c>
    </row>
    <row r="1048" spans="1:6" x14ac:dyDescent="0.25">
      <c r="A1048" t="s">
        <v>10</v>
      </c>
      <c r="B1048" s="5" t="str">
        <f>HYPERLINK("http://www.broadinstitute.org/gsea/msigdb/cards/REACTOME_G_BETA_GAMMA_SIGNALLING_THROUGH_PI3KGAMMA.html","REACTOME_G_BETA_GAMMA_SIGNALLING_THROUGH_PI3KGAMMA")</f>
        <v>REACTOME_G_BETA_GAMMA_SIGNALLING_THROUGH_PI3KGAMMA</v>
      </c>
      <c r="C1048" s="4">
        <v>24</v>
      </c>
      <c r="D1048" s="3">
        <v>1.6591288</v>
      </c>
      <c r="E1048" s="1">
        <v>5.1282052999999999E-3</v>
      </c>
      <c r="F1048" s="2">
        <v>2.4760086000000001E-2</v>
      </c>
    </row>
    <row r="1049" spans="1:6" x14ac:dyDescent="0.25">
      <c r="A1049" t="s">
        <v>6</v>
      </c>
      <c r="B1049" s="5" t="str">
        <f>HYPERLINK("http://www.broadinstitute.org/gsea/msigdb/cards/GOBP_POSITIVE_REGULATION_OF_TOR_SIGNALING.html","GOBP_POSITIVE_REGULATION_OF_TOR_SIGNALING")</f>
        <v>GOBP_POSITIVE_REGULATION_OF_TOR_SIGNALING</v>
      </c>
      <c r="C1049" s="4">
        <v>69</v>
      </c>
      <c r="D1049" s="3">
        <v>1.6586955000000001</v>
      </c>
      <c r="E1049" s="1">
        <v>4.7021939999999998E-3</v>
      </c>
      <c r="F1049" s="2">
        <v>2.4839885999999999E-2</v>
      </c>
    </row>
    <row r="1050" spans="1:6" x14ac:dyDescent="0.25">
      <c r="A1050" t="s">
        <v>6</v>
      </c>
      <c r="B1050" s="5" t="str">
        <f>HYPERLINK("http://www.broadinstitute.org/gsea/msigdb/cards/GOBP_TRANSFORMING_GROWTH_FACTOR_BETA_RECEPTOR_SIGNALING_PATHWAY.html","GOBP_TRANSFORMING_GROWTH_FACTOR_BETA_RECEPTOR_SIGNALING_PATHWAY")</f>
        <v>GOBP_TRANSFORMING_GROWTH_FACTOR_BETA_RECEPTOR_SIGNALING_PATHWAY</v>
      </c>
      <c r="C1050" s="4">
        <v>205</v>
      </c>
      <c r="D1050" s="3">
        <v>1.6584224999999999</v>
      </c>
      <c r="E1050" s="1">
        <v>0</v>
      </c>
      <c r="F1050" s="2">
        <v>2.4898086E-2</v>
      </c>
    </row>
    <row r="1051" spans="1:6" x14ac:dyDescent="0.25">
      <c r="A1051" t="s">
        <v>6</v>
      </c>
      <c r="B1051" s="5" t="str">
        <f>HYPERLINK("http://www.broadinstitute.org/gsea/msigdb/cards/GOBP_MUCOPOLYSACCHARIDE_METABOLIC_PROCESS.html","GOBP_MUCOPOLYSACCHARIDE_METABOLIC_PROCESS")</f>
        <v>GOBP_MUCOPOLYSACCHARIDE_METABOLIC_PROCESS</v>
      </c>
      <c r="C1051" s="4">
        <v>78</v>
      </c>
      <c r="D1051" s="3">
        <v>1.6582186999999999</v>
      </c>
      <c r="E1051" s="1">
        <v>0</v>
      </c>
      <c r="F1051" s="2">
        <v>2.4926001E-2</v>
      </c>
    </row>
    <row r="1052" spans="1:6" x14ac:dyDescent="0.25">
      <c r="A1052" t="s">
        <v>8</v>
      </c>
      <c r="B1052" s="5" t="str">
        <f>HYPERLINK("http://www.broadinstitute.org/gsea/msigdb/cards/GOMF_INTRAMEMBRANE_LIPID_TRANSPORTER_ACTIVITY.html","GOMF_INTRAMEMBRANE_LIPID_TRANSPORTER_ACTIVITY")</f>
        <v>GOMF_INTRAMEMBRANE_LIPID_TRANSPORTER_ACTIVITY</v>
      </c>
      <c r="C1052" s="4">
        <v>49</v>
      </c>
      <c r="D1052" s="3">
        <v>1.6579534</v>
      </c>
      <c r="E1052" s="1">
        <v>4.8701296999999998E-3</v>
      </c>
      <c r="F1052" s="2">
        <v>2.4955917000000001E-2</v>
      </c>
    </row>
    <row r="1053" spans="1:6" x14ac:dyDescent="0.25">
      <c r="A1053" t="s">
        <v>6</v>
      </c>
      <c r="B1053" s="5" t="str">
        <f>HYPERLINK("http://www.broadinstitute.org/gsea/msigdb/cards/GOBP_HISTAMINE_TRANSPORT.html","GOBP_HISTAMINE_TRANSPORT")</f>
        <v>GOBP_HISTAMINE_TRANSPORT</v>
      </c>
      <c r="C1053" s="4">
        <v>19</v>
      </c>
      <c r="D1053" s="3">
        <v>1.6576169000000001</v>
      </c>
      <c r="E1053" s="1">
        <v>1.7211704000000001E-2</v>
      </c>
      <c r="F1053" s="2">
        <v>2.5010448000000001E-2</v>
      </c>
    </row>
    <row r="1054" spans="1:6" x14ac:dyDescent="0.25">
      <c r="A1054" t="s">
        <v>6</v>
      </c>
      <c r="B1054" s="5" t="str">
        <f>HYPERLINK("http://www.broadinstitute.org/gsea/msigdb/cards/GOBP_REGULATION_OF_COMPLEMENT_ACTIVATION.html","GOBP_REGULATION_OF_COMPLEMENT_ACTIVATION")</f>
        <v>GOBP_REGULATION_OF_COMPLEMENT_ACTIVATION</v>
      </c>
      <c r="C1054" s="4">
        <v>20</v>
      </c>
      <c r="D1054" s="3">
        <v>1.6574207999999999</v>
      </c>
      <c r="E1054" s="1">
        <v>1.2477718E-2</v>
      </c>
      <c r="F1054" s="2">
        <v>2.5035169999999999E-2</v>
      </c>
    </row>
    <row r="1055" spans="1:6" x14ac:dyDescent="0.25">
      <c r="A1055" t="s">
        <v>11</v>
      </c>
      <c r="B1055" s="5" t="str">
        <f>HYPERLINK("http://www.broadinstitute.org/gsea/msigdb/cards/WP_EICOSANOID_SYNTHESIS.html","WP_EICOSANOID_SYNTHESIS")</f>
        <v>WP_EICOSANOID_SYNTHESIS</v>
      </c>
      <c r="C1055" s="4">
        <v>17</v>
      </c>
      <c r="D1055" s="3">
        <v>1.6571499999999999</v>
      </c>
      <c r="E1055" s="1">
        <v>1.5706806E-2</v>
      </c>
      <c r="F1055" s="2">
        <v>2.5083373999999999E-2</v>
      </c>
    </row>
    <row r="1056" spans="1:6" x14ac:dyDescent="0.25">
      <c r="A1056" t="s">
        <v>7</v>
      </c>
      <c r="B1056" s="5" t="str">
        <f>HYPERLINK("http://www.broadinstitute.org/gsea/msigdb/cards/GOCC_CELL_LEADING_EDGE.html","GOCC_CELL_LEADING_EDGE")</f>
        <v>GOCC_CELL_LEADING_EDGE</v>
      </c>
      <c r="C1056" s="4">
        <v>410</v>
      </c>
      <c r="D1056" s="3">
        <v>1.6569320000000001</v>
      </c>
      <c r="E1056" s="1">
        <v>0</v>
      </c>
      <c r="F1056" s="2">
        <v>2.5124344999999999E-2</v>
      </c>
    </row>
    <row r="1057" spans="1:6" x14ac:dyDescent="0.25">
      <c r="A1057" t="s">
        <v>6</v>
      </c>
      <c r="B1057" s="5" t="str">
        <f>HYPERLINK("http://www.broadinstitute.org/gsea/msigdb/cards/GOBP_RETROGRADE_TRANSPORT_ENDOSOME_TO_GOLGI.html","GOBP_RETROGRADE_TRANSPORT_ENDOSOME_TO_GOLGI")</f>
        <v>GOBP_RETROGRADE_TRANSPORT_ENDOSOME_TO_GOLGI</v>
      </c>
      <c r="C1057" s="4">
        <v>87</v>
      </c>
      <c r="D1057" s="3">
        <v>1.6564074</v>
      </c>
      <c r="E1057" s="1">
        <v>1.5151514999999999E-3</v>
      </c>
      <c r="F1057" s="2">
        <v>2.5238482E-2</v>
      </c>
    </row>
    <row r="1058" spans="1:6" x14ac:dyDescent="0.25">
      <c r="A1058" t="s">
        <v>8</v>
      </c>
      <c r="B1058" s="5" t="str">
        <f>HYPERLINK("http://www.broadinstitute.org/gsea/msigdb/cards/GOMF_GLUCOSYLTRANSFERASE_ACTIVITY.html","GOMF_GLUCOSYLTRANSFERASE_ACTIVITY")</f>
        <v>GOMF_GLUCOSYLTRANSFERASE_ACTIVITY</v>
      </c>
      <c r="C1058" s="4">
        <v>18</v>
      </c>
      <c r="D1058" s="3">
        <v>1.6561554999999999</v>
      </c>
      <c r="E1058" s="1">
        <v>1.2302285E-2</v>
      </c>
      <c r="F1058" s="2">
        <v>2.5279138E-2</v>
      </c>
    </row>
    <row r="1059" spans="1:6" x14ac:dyDescent="0.25">
      <c r="A1059" t="s">
        <v>6</v>
      </c>
      <c r="B1059" s="5" t="str">
        <f>HYPERLINK("http://www.broadinstitute.org/gsea/msigdb/cards/GOBP_REGULATION_OF_KERATINOCYTE_MIGRATION.html","GOBP_REGULATION_OF_KERATINOCYTE_MIGRATION")</f>
        <v>GOBP_REGULATION_OF_KERATINOCYTE_MIGRATION</v>
      </c>
      <c r="C1059" s="4">
        <v>15</v>
      </c>
      <c r="D1059" s="3">
        <v>1.6557230000000001</v>
      </c>
      <c r="E1059" s="1">
        <v>1.3769363E-2</v>
      </c>
      <c r="F1059" s="2">
        <v>2.5367101999999999E-2</v>
      </c>
    </row>
    <row r="1060" spans="1:6" x14ac:dyDescent="0.25">
      <c r="A1060" t="s">
        <v>6</v>
      </c>
      <c r="B1060" s="5" t="str">
        <f>HYPERLINK("http://www.broadinstitute.org/gsea/msigdb/cards/GOBP_POSITIVE_REGULATION_OF_FATTY_ACID_METABOLIC_PROCESS.html","GOBP_POSITIVE_REGULATION_OF_FATTY_ACID_METABOLIC_PROCESS")</f>
        <v>GOBP_POSITIVE_REGULATION_OF_FATTY_ACID_METABOLIC_PROCESS</v>
      </c>
      <c r="C1060" s="4">
        <v>48</v>
      </c>
      <c r="D1060" s="3">
        <v>1.6553595999999999</v>
      </c>
      <c r="E1060" s="1">
        <v>4.9504950000000001E-3</v>
      </c>
      <c r="F1060" s="2">
        <v>2.5422165E-2</v>
      </c>
    </row>
    <row r="1061" spans="1:6" x14ac:dyDescent="0.25">
      <c r="A1061" t="s">
        <v>6</v>
      </c>
      <c r="B1061" s="5" t="str">
        <f>HYPERLINK("http://www.broadinstitute.org/gsea/msigdb/cards/GOBP_ACTIN_POLYMERIZATION_OR_DEPOLYMERIZATION.html","GOBP_ACTIN_POLYMERIZATION_OR_DEPOLYMERIZATION")</f>
        <v>GOBP_ACTIN_POLYMERIZATION_OR_DEPOLYMERIZATION</v>
      </c>
      <c r="C1061" s="4">
        <v>190</v>
      </c>
      <c r="D1061" s="3">
        <v>1.6551609</v>
      </c>
      <c r="E1061" s="1">
        <v>1.4306151999999999E-3</v>
      </c>
      <c r="F1061" s="2">
        <v>2.5457514000000001E-2</v>
      </c>
    </row>
    <row r="1062" spans="1:6" x14ac:dyDescent="0.25">
      <c r="A1062" t="s">
        <v>6</v>
      </c>
      <c r="B1062" s="5" t="str">
        <f>HYPERLINK("http://www.broadinstitute.org/gsea/msigdb/cards/GOBP_REGULATION_OF_VIRAL_GENOME_REPLICATION.html","GOBP_REGULATION_OF_VIRAL_GENOME_REPLICATION")</f>
        <v>GOBP_REGULATION_OF_VIRAL_GENOME_REPLICATION</v>
      </c>
      <c r="C1062" s="4">
        <v>83</v>
      </c>
      <c r="D1062" s="3">
        <v>1.6545212</v>
      </c>
      <c r="E1062" s="1">
        <v>3.11042E-3</v>
      </c>
      <c r="F1062" s="2">
        <v>2.5594143E-2</v>
      </c>
    </row>
    <row r="1063" spans="1:6" x14ac:dyDescent="0.25">
      <c r="A1063" t="s">
        <v>10</v>
      </c>
      <c r="B1063" s="5" t="str">
        <f>HYPERLINK("http://www.broadinstitute.org/gsea/msigdb/cards/REACTOME_PROGRAMMED_CELL_DEATH.html","REACTOME_PROGRAMMED_CELL_DEATH")</f>
        <v>REACTOME_PROGRAMMED_CELL_DEATH</v>
      </c>
      <c r="C1063" s="4">
        <v>133</v>
      </c>
      <c r="D1063" s="3">
        <v>1.6535219000000001</v>
      </c>
      <c r="E1063" s="1">
        <v>1.4450867E-3</v>
      </c>
      <c r="F1063" s="2">
        <v>2.5832516999999999E-2</v>
      </c>
    </row>
    <row r="1064" spans="1:6" x14ac:dyDescent="0.25">
      <c r="A1064" t="s">
        <v>6</v>
      </c>
      <c r="B1064" s="5" t="str">
        <f>HYPERLINK("http://www.broadinstitute.org/gsea/msigdb/cards/GOBP_NEGATIVE_REGULATION_OF_VASCULAR_PERMEABILITY.html","GOBP_NEGATIVE_REGULATION_OF_VASCULAR_PERMEABILITY")</f>
        <v>GOBP_NEGATIVE_REGULATION_OF_VASCULAR_PERMEABILITY</v>
      </c>
      <c r="C1064" s="4">
        <v>19</v>
      </c>
      <c r="D1064" s="3">
        <v>1.6521455</v>
      </c>
      <c r="E1064" s="1">
        <v>1.1744967E-2</v>
      </c>
      <c r="F1064" s="2">
        <v>2.6134932E-2</v>
      </c>
    </row>
    <row r="1065" spans="1:6" x14ac:dyDescent="0.25">
      <c r="A1065" t="s">
        <v>6</v>
      </c>
      <c r="B1065" s="5" t="str">
        <f>HYPERLINK("http://www.broadinstitute.org/gsea/msigdb/cards/GOBP_EXTRACELLULAR_MATRIX_ASSEMBLY.html","GOBP_EXTRACELLULAR_MATRIX_ASSEMBLY")</f>
        <v>GOBP_EXTRACELLULAR_MATRIX_ASSEMBLY</v>
      </c>
      <c r="C1065" s="4">
        <v>45</v>
      </c>
      <c r="D1065" s="3">
        <v>1.6516854999999999</v>
      </c>
      <c r="E1065" s="1">
        <v>6.4620357000000003E-3</v>
      </c>
      <c r="F1065" s="2">
        <v>2.6229559999999999E-2</v>
      </c>
    </row>
    <row r="1066" spans="1:6" x14ac:dyDescent="0.25">
      <c r="A1066" t="s">
        <v>6</v>
      </c>
      <c r="B1066" s="5" t="str">
        <f>HYPERLINK("http://www.broadinstitute.org/gsea/msigdb/cards/GOBP_LIPOPROTEIN_LOCALIZATION.html","GOBP_LIPOPROTEIN_LOCALIZATION")</f>
        <v>GOBP_LIPOPROTEIN_LOCALIZATION</v>
      </c>
      <c r="C1066" s="4">
        <v>19</v>
      </c>
      <c r="D1066" s="3">
        <v>1.6511912</v>
      </c>
      <c r="E1066" s="1">
        <v>1.0526316000000001E-2</v>
      </c>
      <c r="F1066" s="2">
        <v>2.6320033E-2</v>
      </c>
    </row>
    <row r="1067" spans="1:6" x14ac:dyDescent="0.25">
      <c r="A1067" t="s">
        <v>8</v>
      </c>
      <c r="B1067" s="5" t="str">
        <f>HYPERLINK("http://www.broadinstitute.org/gsea/msigdb/cards/GOMF_G_PROTEIN_COUPLED_RECEPTOR_ACTIVITY.html","GOMF_G_PROTEIN_COUPLED_RECEPTOR_ACTIVITY")</f>
        <v>GOMF_G_PROTEIN_COUPLED_RECEPTOR_ACTIVITY</v>
      </c>
      <c r="C1067" s="4">
        <v>427</v>
      </c>
      <c r="D1067" s="3">
        <v>1.6509923</v>
      </c>
      <c r="E1067" s="1">
        <v>0</v>
      </c>
      <c r="F1067" s="2">
        <v>2.6349340999999998E-2</v>
      </c>
    </row>
    <row r="1068" spans="1:6" x14ac:dyDescent="0.25">
      <c r="A1068" t="s">
        <v>6</v>
      </c>
      <c r="B1068" s="5" t="str">
        <f>HYPERLINK("http://www.broadinstitute.org/gsea/msigdb/cards/GOBP_POSITIVE_REGULATION_OF_RESPONSE_TO_TUMOR_CELL.html","GOBP_POSITIVE_REGULATION_OF_RESPONSE_TO_TUMOR_CELL")</f>
        <v>GOBP_POSITIVE_REGULATION_OF_RESPONSE_TO_TUMOR_CELL</v>
      </c>
      <c r="C1068" s="4">
        <v>18</v>
      </c>
      <c r="D1068" s="3">
        <v>1.6504757000000001</v>
      </c>
      <c r="E1068" s="1">
        <v>1.2259195000000001E-2</v>
      </c>
      <c r="F1068" s="2">
        <v>2.6458771999999998E-2</v>
      </c>
    </row>
    <row r="1069" spans="1:6" x14ac:dyDescent="0.25">
      <c r="A1069" t="s">
        <v>6</v>
      </c>
      <c r="B1069" s="5" t="str">
        <f>HYPERLINK("http://www.broadinstitute.org/gsea/msigdb/cards/GOBP_REGULATION_OF_LIPASE_ACTIVITY.html","GOBP_REGULATION_OF_LIPASE_ACTIVITY")</f>
        <v>GOBP_REGULATION_OF_LIPASE_ACTIVITY</v>
      </c>
      <c r="C1069" s="4">
        <v>79</v>
      </c>
      <c r="D1069" s="3">
        <v>1.6499841</v>
      </c>
      <c r="E1069" s="1">
        <v>1.4925373E-3</v>
      </c>
      <c r="F1069" s="2">
        <v>2.6577314000000001E-2</v>
      </c>
    </row>
    <row r="1070" spans="1:6" x14ac:dyDescent="0.25">
      <c r="A1070" t="s">
        <v>6</v>
      </c>
      <c r="B1070" s="5" t="str">
        <f>HYPERLINK("http://www.broadinstitute.org/gsea/msigdb/cards/GOBP_NEGATIVE_REGULATION_OF_ENDOCYTOSIS.html","GOBP_NEGATIVE_REGULATION_OF_ENDOCYTOSIS")</f>
        <v>GOBP_NEGATIVE_REGULATION_OF_ENDOCYTOSIS</v>
      </c>
      <c r="C1070" s="4">
        <v>72</v>
      </c>
      <c r="D1070" s="3">
        <v>1.6499481</v>
      </c>
      <c r="E1070" s="1">
        <v>1.5174507000000001E-3</v>
      </c>
      <c r="F1070" s="2">
        <v>2.6560563999999998E-2</v>
      </c>
    </row>
    <row r="1071" spans="1:6" x14ac:dyDescent="0.25">
      <c r="A1071" t="s">
        <v>10</v>
      </c>
      <c r="B1071" s="5" t="str">
        <f>HYPERLINK("http://www.broadinstitute.org/gsea/msigdb/cards/REACTOME_REGULATED_NECROSIS.html","REACTOME_REGULATED_NECROSIS")</f>
        <v>REACTOME_REGULATED_NECROSIS</v>
      </c>
      <c r="C1071" s="4">
        <v>51</v>
      </c>
      <c r="D1071" s="3">
        <v>1.6497693</v>
      </c>
      <c r="E1071" s="1">
        <v>8.3752099999999993E-3</v>
      </c>
      <c r="F1071" s="2">
        <v>2.6585594000000001E-2</v>
      </c>
    </row>
    <row r="1072" spans="1:6" x14ac:dyDescent="0.25">
      <c r="A1072" t="s">
        <v>6</v>
      </c>
      <c r="B1072" s="5" t="str">
        <f>HYPERLINK("http://www.broadinstitute.org/gsea/msigdb/cards/GOBP_PURINE_NUCLEOSIDE_MONOPHOSPHATE_CATABOLIC_PROCESS.html","GOBP_PURINE_NUCLEOSIDE_MONOPHOSPHATE_CATABOLIC_PROCESS")</f>
        <v>GOBP_PURINE_NUCLEOSIDE_MONOPHOSPHATE_CATABOLIC_PROCESS</v>
      </c>
      <c r="C1072" s="4">
        <v>15</v>
      </c>
      <c r="D1072" s="3">
        <v>1.6494063000000001</v>
      </c>
      <c r="E1072" s="1">
        <v>1.8965518000000001E-2</v>
      </c>
      <c r="F1072" s="2">
        <v>2.6660924999999999E-2</v>
      </c>
    </row>
    <row r="1073" spans="1:6" x14ac:dyDescent="0.25">
      <c r="A1073" t="s">
        <v>6</v>
      </c>
      <c r="B1073" s="5" t="str">
        <f>HYPERLINK("http://www.broadinstitute.org/gsea/msigdb/cards/GOBP_CD8_POSITIVE_ALPHA_BETA_T_CELL_PROLIFERATION.html","GOBP_CD8_POSITIVE_ALPHA_BETA_T_CELL_PROLIFERATION")</f>
        <v>GOBP_CD8_POSITIVE_ALPHA_BETA_T_CELL_PROLIFERATION</v>
      </c>
      <c r="C1073" s="4">
        <v>22</v>
      </c>
      <c r="D1073" s="3">
        <v>1.6493823999999999</v>
      </c>
      <c r="E1073" s="1">
        <v>8.5470089999999995E-3</v>
      </c>
      <c r="F1073" s="2">
        <v>2.6642056000000001E-2</v>
      </c>
    </row>
    <row r="1074" spans="1:6" x14ac:dyDescent="0.25">
      <c r="A1074" t="s">
        <v>6</v>
      </c>
      <c r="B1074" s="5" t="str">
        <f>HYPERLINK("http://www.broadinstitute.org/gsea/msigdb/cards/GOBP_PROTEIN_TARGETING_TO_LYSOSOME.html","GOBP_PROTEIN_TARGETING_TO_LYSOSOME")</f>
        <v>GOBP_PROTEIN_TARGETING_TO_LYSOSOME</v>
      </c>
      <c r="C1074" s="4">
        <v>29</v>
      </c>
      <c r="D1074" s="3">
        <v>1.6487997000000001</v>
      </c>
      <c r="E1074" s="1">
        <v>1.1764706E-2</v>
      </c>
      <c r="F1074" s="2">
        <v>2.6754772E-2</v>
      </c>
    </row>
    <row r="1075" spans="1:6" x14ac:dyDescent="0.25">
      <c r="A1075" t="s">
        <v>10</v>
      </c>
      <c r="B1075" s="5" t="str">
        <f>HYPERLINK("http://www.broadinstitute.org/gsea/msigdb/cards/REACTOME_SIGNAL_AMPLIFICATION.html","REACTOME_SIGNAL_AMPLIFICATION")</f>
        <v>REACTOME_SIGNAL_AMPLIFICATION</v>
      </c>
      <c r="C1075" s="4">
        <v>32</v>
      </c>
      <c r="D1075" s="3">
        <v>1.6487400000000001</v>
      </c>
      <c r="E1075" s="1">
        <v>4.9504950000000001E-3</v>
      </c>
      <c r="F1075" s="2">
        <v>2.6751990999999999E-2</v>
      </c>
    </row>
    <row r="1076" spans="1:6" x14ac:dyDescent="0.25">
      <c r="A1076" t="s">
        <v>8</v>
      </c>
      <c r="B1076" s="5" t="str">
        <f>HYPERLINK("http://www.broadinstitute.org/gsea/msigdb/cards/GOMF_MOLECULAR_SEQUESTERING_ACTIVITY.html","GOMF_MOLECULAR_SEQUESTERING_ACTIVITY")</f>
        <v>GOMF_MOLECULAR_SEQUESTERING_ACTIVITY</v>
      </c>
      <c r="C1076" s="4">
        <v>45</v>
      </c>
      <c r="D1076" s="3">
        <v>1.648628</v>
      </c>
      <c r="E1076" s="1">
        <v>4.8939639999999998E-3</v>
      </c>
      <c r="F1076" s="2">
        <v>2.6758322000000001E-2</v>
      </c>
    </row>
    <row r="1077" spans="1:6" x14ac:dyDescent="0.25">
      <c r="A1077" t="s">
        <v>6</v>
      </c>
      <c r="B1077" s="5" t="str">
        <f>HYPERLINK("http://www.broadinstitute.org/gsea/msigdb/cards/GOBP_NEGATIVE_REGULATION_OF_ENDOTHELIAL_CELL_MIGRATION.html","GOBP_NEGATIVE_REGULATION_OF_ENDOTHELIAL_CELL_MIGRATION")</f>
        <v>GOBP_NEGATIVE_REGULATION_OF_ENDOTHELIAL_CELL_MIGRATION</v>
      </c>
      <c r="C1077" s="4">
        <v>55</v>
      </c>
      <c r="D1077" s="3">
        <v>1.6483268</v>
      </c>
      <c r="E1077" s="1">
        <v>3.3500837E-3</v>
      </c>
      <c r="F1077" s="2">
        <v>2.6814021E-2</v>
      </c>
    </row>
    <row r="1078" spans="1:6" x14ac:dyDescent="0.25">
      <c r="A1078" t="s">
        <v>10</v>
      </c>
      <c r="B1078" s="5" t="str">
        <f>HYPERLINK("http://www.broadinstitute.org/gsea/msigdb/cards/REACTOME_PI_METABOLISM.html","REACTOME_PI_METABOLISM")</f>
        <v>REACTOME_PI_METABOLISM</v>
      </c>
      <c r="C1078" s="4">
        <v>76</v>
      </c>
      <c r="D1078" s="3">
        <v>1.6481159999999999</v>
      </c>
      <c r="E1078" s="1">
        <v>1.5898251E-3</v>
      </c>
      <c r="F1078" s="2">
        <v>2.6843503000000001E-2</v>
      </c>
    </row>
    <row r="1079" spans="1:6" x14ac:dyDescent="0.25">
      <c r="A1079" t="s">
        <v>6</v>
      </c>
      <c r="B1079" s="5" t="str">
        <f>HYPERLINK("http://www.broadinstitute.org/gsea/msigdb/cards/GOBP_MEMBRANE_RAFT_ORGANIZATION.html","GOBP_MEMBRANE_RAFT_ORGANIZATION")</f>
        <v>GOBP_MEMBRANE_RAFT_ORGANIZATION</v>
      </c>
      <c r="C1079" s="4">
        <v>23</v>
      </c>
      <c r="D1079" s="3">
        <v>1.6474899000000001</v>
      </c>
      <c r="E1079" s="1">
        <v>1.4263075E-2</v>
      </c>
      <c r="F1079" s="2">
        <v>2.6993418000000002E-2</v>
      </c>
    </row>
    <row r="1080" spans="1:6" x14ac:dyDescent="0.25">
      <c r="A1080" t="s">
        <v>6</v>
      </c>
      <c r="B1080" s="5" t="str">
        <f>HYPERLINK("http://www.broadinstitute.org/gsea/msigdb/cards/GOBP_FAT_SOLUBLE_VITAMIN_METABOLIC_PROCESS.html","GOBP_FAT_SOLUBLE_VITAMIN_METABOLIC_PROCESS")</f>
        <v>GOBP_FAT_SOLUBLE_VITAMIN_METABOLIC_PROCESS</v>
      </c>
      <c r="C1080" s="4">
        <v>36</v>
      </c>
      <c r="D1080" s="3">
        <v>1.6474648000000001</v>
      </c>
      <c r="E1080" s="1">
        <v>1.3864817999999999E-2</v>
      </c>
      <c r="F1080" s="2">
        <v>2.6974395000000002E-2</v>
      </c>
    </row>
    <row r="1081" spans="1:6" x14ac:dyDescent="0.25">
      <c r="A1081" t="s">
        <v>6</v>
      </c>
      <c r="B1081" s="5" t="str">
        <f>HYPERLINK("http://www.broadinstitute.org/gsea/msigdb/cards/GOBP_GRANULOCYTE_DIFFERENTIATION.html","GOBP_GRANULOCYTE_DIFFERENTIATION")</f>
        <v>GOBP_GRANULOCYTE_DIFFERENTIATION</v>
      </c>
      <c r="C1081" s="4">
        <v>48</v>
      </c>
      <c r="D1081" s="3">
        <v>1.6472682000000001</v>
      </c>
      <c r="E1081" s="1">
        <v>4.9504950000000001E-3</v>
      </c>
      <c r="F1081" s="2">
        <v>2.7006720000000001E-2</v>
      </c>
    </row>
    <row r="1082" spans="1:6" x14ac:dyDescent="0.25">
      <c r="A1082" t="s">
        <v>6</v>
      </c>
      <c r="B1082" s="5" t="str">
        <f>HYPERLINK("http://www.broadinstitute.org/gsea/msigdb/cards/GOBP_CALCIUM_MEDIATED_SIGNALING_USING_INTRACELLULAR_CALCIUM_SOURCE.html","GOBP_CALCIUM_MEDIATED_SIGNALING_USING_INTRACELLULAR_CALCIUM_SOURCE")</f>
        <v>GOBP_CALCIUM_MEDIATED_SIGNALING_USING_INTRACELLULAR_CALCIUM_SOURCE</v>
      </c>
      <c r="C1082" s="4">
        <v>21</v>
      </c>
      <c r="D1082" s="3">
        <v>1.6459817999999999</v>
      </c>
      <c r="E1082" s="1">
        <v>1.3628619999999999E-2</v>
      </c>
      <c r="F1082" s="2">
        <v>2.7322836E-2</v>
      </c>
    </row>
    <row r="1083" spans="1:6" x14ac:dyDescent="0.25">
      <c r="A1083" t="s">
        <v>10</v>
      </c>
      <c r="B1083" s="5" t="str">
        <f>HYPERLINK("http://www.broadinstitute.org/gsea/msigdb/cards/REACTOME_COLLAGEN_CHAIN_TRIMERIZATION.html","REACTOME_COLLAGEN_CHAIN_TRIMERIZATION")</f>
        <v>REACTOME_COLLAGEN_CHAIN_TRIMERIZATION</v>
      </c>
      <c r="C1083" s="4">
        <v>37</v>
      </c>
      <c r="D1083" s="3">
        <v>1.6457676000000001</v>
      </c>
      <c r="E1083" s="1">
        <v>9.8039219999999996E-3</v>
      </c>
      <c r="F1083" s="2">
        <v>2.7353644E-2</v>
      </c>
    </row>
    <row r="1084" spans="1:6" x14ac:dyDescent="0.25">
      <c r="A1084" t="s">
        <v>8</v>
      </c>
      <c r="B1084" s="5" t="str">
        <f>HYPERLINK("http://www.broadinstitute.org/gsea/msigdb/cards/GOMF_T_CELL_RECEPTOR_BINDING.html","GOMF_T_CELL_RECEPTOR_BINDING")</f>
        <v>GOMF_T_CELL_RECEPTOR_BINDING</v>
      </c>
      <c r="C1084" s="4">
        <v>24</v>
      </c>
      <c r="D1084" s="3">
        <v>1.6456831999999999</v>
      </c>
      <c r="E1084" s="1">
        <v>1.4010508E-2</v>
      </c>
      <c r="F1084" s="2">
        <v>2.7348382000000001E-2</v>
      </c>
    </row>
    <row r="1085" spans="1:6" x14ac:dyDescent="0.25">
      <c r="A1085" t="s">
        <v>6</v>
      </c>
      <c r="B1085" s="5" t="str">
        <f>HYPERLINK("http://www.broadinstitute.org/gsea/msigdb/cards/GOBP_REGULATION_OF_NATURAL_KILLER_CELL_PROLIFERATION.html","GOBP_REGULATION_OF_NATURAL_KILLER_CELL_PROLIFERATION")</f>
        <v>GOBP_REGULATION_OF_NATURAL_KILLER_CELL_PROLIFERATION</v>
      </c>
      <c r="C1085" s="4">
        <v>25</v>
      </c>
      <c r="D1085" s="3">
        <v>1.6455569000000001</v>
      </c>
      <c r="E1085" s="1">
        <v>1.1666667E-2</v>
      </c>
      <c r="F1085" s="2">
        <v>2.7352212000000001E-2</v>
      </c>
    </row>
    <row r="1086" spans="1:6" x14ac:dyDescent="0.25">
      <c r="A1086" t="s">
        <v>5</v>
      </c>
      <c r="B1086" s="5" t="str">
        <f>HYPERLINK("http://www.broadinstitute.org/gsea/msigdb/cards/BIOCARTA_GLEEVEC_PATHWAY.html","BIOCARTA_GLEEVEC_PATHWAY")</f>
        <v>BIOCARTA_GLEEVEC_PATHWAY</v>
      </c>
      <c r="C1086" s="4">
        <v>23</v>
      </c>
      <c r="D1086" s="3">
        <v>1.6453690000000001</v>
      </c>
      <c r="E1086" s="1">
        <v>2.0338981999999999E-2</v>
      </c>
      <c r="F1086" s="2">
        <v>2.7380089999999999E-2</v>
      </c>
    </row>
    <row r="1087" spans="1:6" x14ac:dyDescent="0.25">
      <c r="A1087" t="s">
        <v>6</v>
      </c>
      <c r="B1087" s="5" t="str">
        <f>HYPERLINK("http://www.broadinstitute.org/gsea/msigdb/cards/GOBP_P38MAPK_CASCADE.html","GOBP_P38MAPK_CASCADE")</f>
        <v>GOBP_P38MAPK_CASCADE</v>
      </c>
      <c r="C1087" s="4">
        <v>57</v>
      </c>
      <c r="D1087" s="3">
        <v>1.6451855</v>
      </c>
      <c r="E1087" s="1">
        <v>3.1298903999999999E-3</v>
      </c>
      <c r="F1087" s="2">
        <v>2.7405810999999999E-2</v>
      </c>
    </row>
    <row r="1088" spans="1:6" x14ac:dyDescent="0.25">
      <c r="A1088" t="s">
        <v>6</v>
      </c>
      <c r="B1088" s="5" t="str">
        <f>HYPERLINK("http://www.broadinstitute.org/gsea/msigdb/cards/GOBP_COPII_COATED_VESICLE_CARGO_LOADING.html","GOBP_COPII_COATED_VESICLE_CARGO_LOADING")</f>
        <v>GOBP_COPII_COATED_VESICLE_CARGO_LOADING</v>
      </c>
      <c r="C1088" s="4">
        <v>15</v>
      </c>
      <c r="D1088" s="3">
        <v>1.6449218000000001</v>
      </c>
      <c r="E1088" s="1">
        <v>1.0733453E-2</v>
      </c>
      <c r="F1088" s="2">
        <v>2.7450358000000001E-2</v>
      </c>
    </row>
    <row r="1089" spans="1:6" x14ac:dyDescent="0.25">
      <c r="A1089" t="s">
        <v>6</v>
      </c>
      <c r="B1089" s="5" t="str">
        <f>HYPERLINK("http://www.broadinstitute.org/gsea/msigdb/cards/GOBP_REGULATION_OF_NECROPTOTIC_PROCESS.html","GOBP_REGULATION_OF_NECROPTOTIC_PROCESS")</f>
        <v>GOBP_REGULATION_OF_NECROPTOTIC_PROCESS</v>
      </c>
      <c r="C1089" s="4">
        <v>23</v>
      </c>
      <c r="D1089" s="3">
        <v>1.6447780000000001</v>
      </c>
      <c r="E1089" s="1">
        <v>1.1456628E-2</v>
      </c>
      <c r="F1089" s="2">
        <v>2.7466952999999999E-2</v>
      </c>
    </row>
    <row r="1090" spans="1:6" x14ac:dyDescent="0.25">
      <c r="A1090" t="s">
        <v>7</v>
      </c>
      <c r="B1090" s="5" t="str">
        <f>HYPERLINK("http://www.broadinstitute.org/gsea/msigdb/cards/GOCC_CLATHRIN_COATED_PIT.html","GOCC_CLATHRIN_COATED_PIT")</f>
        <v>GOCC_CLATHRIN_COATED_PIT</v>
      </c>
      <c r="C1090" s="4">
        <v>72</v>
      </c>
      <c r="D1090" s="3">
        <v>1.6447134000000001</v>
      </c>
      <c r="E1090" s="1">
        <v>4.7619050000000003E-3</v>
      </c>
      <c r="F1090" s="2">
        <v>2.7464590000000001E-2</v>
      </c>
    </row>
    <row r="1091" spans="1:6" x14ac:dyDescent="0.25">
      <c r="A1091" t="s">
        <v>6</v>
      </c>
      <c r="B1091" s="5" t="str">
        <f>HYPERLINK("http://www.broadinstitute.org/gsea/msigdb/cards/GOBP_NEGATIVE_REGULATION_OF_WOUND_HEALING.html","GOBP_NEGATIVE_REGULATION_OF_WOUND_HEALING")</f>
        <v>GOBP_NEGATIVE_REGULATION_OF_WOUND_HEALING</v>
      </c>
      <c r="C1091" s="4">
        <v>66</v>
      </c>
      <c r="D1091" s="3">
        <v>1.6441231000000001</v>
      </c>
      <c r="E1091" s="1">
        <v>1.5898251E-3</v>
      </c>
      <c r="F1091" s="2">
        <v>2.7570957E-2</v>
      </c>
    </row>
    <row r="1092" spans="1:6" x14ac:dyDescent="0.25">
      <c r="A1092" t="s">
        <v>6</v>
      </c>
      <c r="B1092" s="5" t="str">
        <f>HYPERLINK("http://www.broadinstitute.org/gsea/msigdb/cards/GOBP_NEGATIVE_REGULATION_OF_MYELOID_LEUKOCYTE_DIFFERENTIATION.html","GOBP_NEGATIVE_REGULATION_OF_MYELOID_LEUKOCYTE_DIFFERENTIATION")</f>
        <v>GOBP_NEGATIVE_REGULATION_OF_MYELOID_LEUKOCYTE_DIFFERENTIATION</v>
      </c>
      <c r="C1092" s="4">
        <v>57</v>
      </c>
      <c r="D1092" s="3">
        <v>1.6435500000000001</v>
      </c>
      <c r="E1092" s="1">
        <v>1.1570248E-2</v>
      </c>
      <c r="F1092" s="2">
        <v>2.7697789E-2</v>
      </c>
    </row>
    <row r="1093" spans="1:6" x14ac:dyDescent="0.25">
      <c r="A1093" t="s">
        <v>6</v>
      </c>
      <c r="B1093" s="5" t="str">
        <f>HYPERLINK("http://www.broadinstitute.org/gsea/msigdb/cards/GOBP_MACROPHAGE_ACTIVATION_INVOLVED_IN_IMMUNE_RESPONSE.html","GOBP_MACROPHAGE_ACTIVATION_INVOLVED_IN_IMMUNE_RESPONSE")</f>
        <v>GOBP_MACROPHAGE_ACTIVATION_INVOLVED_IN_IMMUNE_RESPONSE</v>
      </c>
      <c r="C1093" s="4">
        <v>19</v>
      </c>
      <c r="D1093" s="3">
        <v>1.6434711</v>
      </c>
      <c r="E1093" s="1">
        <v>1.6025642E-2</v>
      </c>
      <c r="F1093" s="2">
        <v>2.7700220000000001E-2</v>
      </c>
    </row>
    <row r="1094" spans="1:6" x14ac:dyDescent="0.25">
      <c r="A1094" t="s">
        <v>11</v>
      </c>
      <c r="B1094" s="5" t="str">
        <f>HYPERLINK("http://www.broadinstitute.org/gsea/msigdb/cards/WP_GPCRS_CLASS_A_RHODOPSIN_LIKE.html","WP_GPCRS_CLASS_A_RHODOPSIN_LIKE")</f>
        <v>WP_GPCRS_CLASS_A_RHODOPSIN_LIKE</v>
      </c>
      <c r="C1094" s="4">
        <v>172</v>
      </c>
      <c r="D1094" s="3">
        <v>1.6428498</v>
      </c>
      <c r="E1094" s="1">
        <v>0</v>
      </c>
      <c r="F1094" s="2">
        <v>2.7845689999999999E-2</v>
      </c>
    </row>
    <row r="1095" spans="1:6" x14ac:dyDescent="0.25">
      <c r="A1095" t="s">
        <v>6</v>
      </c>
      <c r="B1095" s="5" t="str">
        <f>HYPERLINK("http://www.broadinstitute.org/gsea/msigdb/cards/GOBP_BILE_ACID_AND_BILE_SALT_TRANSPORT.html","GOBP_BILE_ACID_AND_BILE_SALT_TRANSPORT")</f>
        <v>GOBP_BILE_ACID_AND_BILE_SALT_TRANSPORT</v>
      </c>
      <c r="C1095" s="4">
        <v>27</v>
      </c>
      <c r="D1095" s="3">
        <v>1.6426693999999999</v>
      </c>
      <c r="E1095" s="1">
        <v>6.8376069999999999E-3</v>
      </c>
      <c r="F1095" s="2">
        <v>2.7871976E-2</v>
      </c>
    </row>
    <row r="1096" spans="1:6" x14ac:dyDescent="0.25">
      <c r="A1096" t="s">
        <v>11</v>
      </c>
      <c r="B1096" s="5" t="str">
        <f>HYPERLINK("http://www.broadinstitute.org/gsea/msigdb/cards/WP_P38_MAPK_SIGNALING_PATHWAY.html","WP_P38_MAPK_SIGNALING_PATHWAY")</f>
        <v>WP_P38_MAPK_SIGNALING_PATHWAY</v>
      </c>
      <c r="C1096" s="4">
        <v>33</v>
      </c>
      <c r="D1096" s="3">
        <v>1.6418362</v>
      </c>
      <c r="E1096" s="1">
        <v>6.5897856999999997E-3</v>
      </c>
      <c r="F1096" s="2">
        <v>2.8057536000000001E-2</v>
      </c>
    </row>
    <row r="1097" spans="1:6" x14ac:dyDescent="0.25">
      <c r="A1097" t="s">
        <v>6</v>
      </c>
      <c r="B1097" s="5" t="str">
        <f>HYPERLINK("http://www.broadinstitute.org/gsea/msigdb/cards/GOBP_ASTROCYTE_DEVELOPMENT.html","GOBP_ASTROCYTE_DEVELOPMENT")</f>
        <v>GOBP_ASTROCYTE_DEVELOPMENT</v>
      </c>
      <c r="C1097" s="4">
        <v>38</v>
      </c>
      <c r="D1097" s="3">
        <v>1.6414746</v>
      </c>
      <c r="E1097" s="1">
        <v>1.6474465000000001E-2</v>
      </c>
      <c r="F1097" s="2">
        <v>2.8136873999999999E-2</v>
      </c>
    </row>
    <row r="1098" spans="1:6" x14ac:dyDescent="0.25">
      <c r="A1098" t="s">
        <v>10</v>
      </c>
      <c r="B1098" s="5" t="str">
        <f>HYPERLINK("http://www.broadinstitute.org/gsea/msigdb/cards/REACTOME_SIGNALING_BY_SCF_KIT.html","REACTOME_SIGNALING_BY_SCF_KIT")</f>
        <v>REACTOME_SIGNALING_BY_SCF_KIT</v>
      </c>
      <c r="C1098" s="4">
        <v>36</v>
      </c>
      <c r="D1098" s="3">
        <v>1.6408795</v>
      </c>
      <c r="E1098" s="1">
        <v>6.6777959999999997E-3</v>
      </c>
      <c r="F1098" s="2">
        <v>2.8268395000000002E-2</v>
      </c>
    </row>
    <row r="1099" spans="1:6" x14ac:dyDescent="0.25">
      <c r="A1099" t="s">
        <v>8</v>
      </c>
      <c r="B1099" s="5" t="str">
        <f>HYPERLINK("http://www.broadinstitute.org/gsea/msigdb/cards/GOMF_OPSONIN_BINDING.html","GOMF_OPSONIN_BINDING")</f>
        <v>GOMF_OPSONIN_BINDING</v>
      </c>
      <c r="C1099" s="4">
        <v>18</v>
      </c>
      <c r="D1099" s="3">
        <v>1.6407061999999999</v>
      </c>
      <c r="E1099" s="1">
        <v>1.0526316000000001E-2</v>
      </c>
      <c r="F1099" s="2">
        <v>2.8287161000000002E-2</v>
      </c>
    </row>
    <row r="1100" spans="1:6" x14ac:dyDescent="0.25">
      <c r="A1100" t="s">
        <v>8</v>
      </c>
      <c r="B1100" s="5" t="str">
        <f>HYPERLINK("http://www.broadinstitute.org/gsea/msigdb/cards/GOMF_NATURAL_KILLER_CELL_LECTIN_LIKE_RECEPTOR_BINDING.html","GOMF_NATURAL_KILLER_CELL_LECTIN_LIKE_RECEPTOR_BINDING")</f>
        <v>GOMF_NATURAL_KILLER_CELL_LECTIN_LIKE_RECEPTOR_BINDING</v>
      </c>
      <c r="C1100" s="4">
        <v>27</v>
      </c>
      <c r="D1100" s="3">
        <v>1.6397195</v>
      </c>
      <c r="E1100" s="1">
        <v>8.5910650000000002E-3</v>
      </c>
      <c r="F1100" s="2">
        <v>2.8539844000000002E-2</v>
      </c>
    </row>
    <row r="1101" spans="1:6" x14ac:dyDescent="0.25">
      <c r="A1101" t="s">
        <v>6</v>
      </c>
      <c r="B1101" s="5" t="str">
        <f>HYPERLINK("http://www.broadinstitute.org/gsea/msigdb/cards/GOBP_POSITIVE_REGULATION_OF_T_CELL_CYTOKINE_PRODUCTION.html","GOBP_POSITIVE_REGULATION_OF_T_CELL_CYTOKINE_PRODUCTION")</f>
        <v>GOBP_POSITIVE_REGULATION_OF_T_CELL_CYTOKINE_PRODUCTION</v>
      </c>
      <c r="C1101" s="4">
        <v>25</v>
      </c>
      <c r="D1101" s="3">
        <v>1.6395983999999999</v>
      </c>
      <c r="E1101" s="1">
        <v>8.4745759999999993E-3</v>
      </c>
      <c r="F1101" s="2">
        <v>2.8544394000000001E-2</v>
      </c>
    </row>
    <row r="1102" spans="1:6" x14ac:dyDescent="0.25">
      <c r="A1102" t="s">
        <v>6</v>
      </c>
      <c r="B1102" s="5" t="str">
        <f>HYPERLINK("http://www.broadinstitute.org/gsea/msigdb/cards/GOBP_POSITIVE_REGULATION_OF_BONE_RESORPTION.html","GOBP_POSITIVE_REGULATION_OF_BONE_RESORPTION")</f>
        <v>GOBP_POSITIVE_REGULATION_OF_BONE_RESORPTION</v>
      </c>
      <c r="C1102" s="4">
        <v>26</v>
      </c>
      <c r="D1102" s="3">
        <v>1.6395518</v>
      </c>
      <c r="E1102" s="1">
        <v>1.6778523E-2</v>
      </c>
      <c r="F1102" s="2">
        <v>2.853224E-2</v>
      </c>
    </row>
    <row r="1103" spans="1:6" x14ac:dyDescent="0.25">
      <c r="A1103" t="s">
        <v>6</v>
      </c>
      <c r="B1103" s="5" t="str">
        <f>HYPERLINK("http://www.broadinstitute.org/gsea/msigdb/cards/GOBP_NEGATIVE_REGULATION_OF_BIOMINERAL_TISSUE_DEVELOPMENT.html","GOBP_NEGATIVE_REGULATION_OF_BIOMINERAL_TISSUE_DEVELOPMENT")</f>
        <v>GOBP_NEGATIVE_REGULATION_OF_BIOMINERAL_TISSUE_DEVELOPMENT</v>
      </c>
      <c r="C1103" s="4">
        <v>24</v>
      </c>
      <c r="D1103" s="3">
        <v>1.6392677</v>
      </c>
      <c r="E1103" s="1">
        <v>1.4563107E-2</v>
      </c>
      <c r="F1103" s="2">
        <v>2.856436E-2</v>
      </c>
    </row>
    <row r="1104" spans="1:6" x14ac:dyDescent="0.25">
      <c r="A1104" t="s">
        <v>6</v>
      </c>
      <c r="B1104" s="5" t="str">
        <f>HYPERLINK("http://www.broadinstitute.org/gsea/msigdb/cards/GOBP_TISSUE_HOMEOSTASIS.html","GOBP_TISSUE_HOMEOSTASIS")</f>
        <v>GOBP_TISSUE_HOMEOSTASIS</v>
      </c>
      <c r="C1104" s="4">
        <v>267</v>
      </c>
      <c r="D1104" s="3">
        <v>1.6390419000000001</v>
      </c>
      <c r="E1104" s="1">
        <v>0</v>
      </c>
      <c r="F1104" s="2">
        <v>2.8586494E-2</v>
      </c>
    </row>
    <row r="1105" spans="1:6" x14ac:dyDescent="0.25">
      <c r="A1105" t="s">
        <v>6</v>
      </c>
      <c r="B1105" s="5" t="str">
        <f>HYPERLINK("http://www.broadinstitute.org/gsea/msigdb/cards/GOBP_NEGATIVE_REGULATION_OF_ALPHA_BETA_T_CELL_PROLIFERATION.html","GOBP_NEGATIVE_REGULATION_OF_ALPHA_BETA_T_CELL_PROLIFERATION")</f>
        <v>GOBP_NEGATIVE_REGULATION_OF_ALPHA_BETA_T_CELL_PROLIFERATION</v>
      </c>
      <c r="C1105" s="4">
        <v>16</v>
      </c>
      <c r="D1105" s="3">
        <v>1.6383430999999999</v>
      </c>
      <c r="E1105" s="1">
        <v>1.2455516E-2</v>
      </c>
      <c r="F1105" s="2">
        <v>2.8740432E-2</v>
      </c>
    </row>
    <row r="1106" spans="1:6" x14ac:dyDescent="0.25">
      <c r="A1106" t="s">
        <v>10</v>
      </c>
      <c r="B1106" s="5" t="str">
        <f>HYPERLINK("http://www.broadinstitute.org/gsea/msigdb/cards/REACTOME_TERMINATION_OF_O_GLYCAN_BIOSYNTHESIS.html","REACTOME_TERMINATION_OF_O_GLYCAN_BIOSYNTHESIS")</f>
        <v>REACTOME_TERMINATION_OF_O_GLYCAN_BIOSYNTHESIS</v>
      </c>
      <c r="C1106" s="4">
        <v>17</v>
      </c>
      <c r="D1106" s="3">
        <v>1.6378969999999999</v>
      </c>
      <c r="E1106" s="1">
        <v>1.369863E-2</v>
      </c>
      <c r="F1106" s="2">
        <v>2.885389E-2</v>
      </c>
    </row>
    <row r="1107" spans="1:6" x14ac:dyDescent="0.25">
      <c r="A1107" t="s">
        <v>6</v>
      </c>
      <c r="B1107" s="5" t="str">
        <f>HYPERLINK("http://www.broadinstitute.org/gsea/msigdb/cards/GOBP_REGULATION_OF_NEUROINFLAMMATORY_RESPONSE.html","GOBP_REGULATION_OF_NEUROINFLAMMATORY_RESPONSE")</f>
        <v>GOBP_REGULATION_OF_NEUROINFLAMMATORY_RESPONSE</v>
      </c>
      <c r="C1107" s="4">
        <v>30</v>
      </c>
      <c r="D1107" s="3">
        <v>1.6377524999999999</v>
      </c>
      <c r="E1107" s="1">
        <v>1.718213E-2</v>
      </c>
      <c r="F1107" s="2">
        <v>2.8862097999999999E-2</v>
      </c>
    </row>
    <row r="1108" spans="1:6" x14ac:dyDescent="0.25">
      <c r="A1108" t="s">
        <v>6</v>
      </c>
      <c r="B1108" s="5" t="str">
        <f>HYPERLINK("http://www.broadinstitute.org/gsea/msigdb/cards/GOBP_IRON_ION_TRANSMEMBRANE_TRANSPORT.html","GOBP_IRON_ION_TRANSMEMBRANE_TRANSPORT")</f>
        <v>GOBP_IRON_ION_TRANSMEMBRANE_TRANSPORT</v>
      </c>
      <c r="C1108" s="4">
        <v>29</v>
      </c>
      <c r="D1108" s="3">
        <v>1.6375856</v>
      </c>
      <c r="E1108" s="1">
        <v>1.0416666999999999E-2</v>
      </c>
      <c r="F1108" s="2">
        <v>2.8887913000000001E-2</v>
      </c>
    </row>
    <row r="1109" spans="1:6" x14ac:dyDescent="0.25">
      <c r="A1109" t="s">
        <v>6</v>
      </c>
      <c r="B1109" s="5" t="str">
        <f>HYPERLINK("http://www.broadinstitute.org/gsea/msigdb/cards/GOBP_GLIAL_CELL_MIGRATION.html","GOBP_GLIAL_CELL_MIGRATION")</f>
        <v>GOBP_GLIAL_CELL_MIGRATION</v>
      </c>
      <c r="C1109" s="4">
        <v>71</v>
      </c>
      <c r="D1109" s="3">
        <v>1.637551</v>
      </c>
      <c r="E1109" s="1">
        <v>3.2520323999999999E-3</v>
      </c>
      <c r="F1109" s="2">
        <v>2.8870616000000002E-2</v>
      </c>
    </row>
    <row r="1110" spans="1:6" x14ac:dyDescent="0.25">
      <c r="A1110" t="s">
        <v>6</v>
      </c>
      <c r="B1110" s="5" t="str">
        <f>HYPERLINK("http://www.broadinstitute.org/gsea/msigdb/cards/GOBP_CELLULAR_METABOLIC_COMPOUND_SALVAGE.html","GOBP_CELLULAR_METABOLIC_COMPOUND_SALVAGE")</f>
        <v>GOBP_CELLULAR_METABOLIC_COMPOUND_SALVAGE</v>
      </c>
      <c r="C1110" s="4">
        <v>35</v>
      </c>
      <c r="D1110" s="3">
        <v>1.6375147000000001</v>
      </c>
      <c r="E1110" s="1">
        <v>1.0791367E-2</v>
      </c>
      <c r="F1110" s="2">
        <v>2.8858231000000002E-2</v>
      </c>
    </row>
    <row r="1111" spans="1:6" x14ac:dyDescent="0.25">
      <c r="A1111" t="s">
        <v>10</v>
      </c>
      <c r="B1111" s="5" t="str">
        <f>HYPERLINK("http://www.broadinstitute.org/gsea/msigdb/cards/REACTOME_APOPTOSIS.html","REACTOME_APOPTOSIS")</f>
        <v>REACTOME_APOPTOSIS</v>
      </c>
      <c r="C1111" s="4">
        <v>102</v>
      </c>
      <c r="D1111" s="3">
        <v>1.6373711</v>
      </c>
      <c r="E1111" s="1">
        <v>1.5290519999999999E-3</v>
      </c>
      <c r="F1111" s="2">
        <v>2.8876215E-2</v>
      </c>
    </row>
    <row r="1112" spans="1:6" x14ac:dyDescent="0.25">
      <c r="A1112" t="s">
        <v>6</v>
      </c>
      <c r="B1112" s="5" t="str">
        <f>HYPERLINK("http://www.broadinstitute.org/gsea/msigdb/cards/GOBP_VESICLE_CARGO_LOADING.html","GOBP_VESICLE_CARGO_LOADING")</f>
        <v>GOBP_VESICLE_CARGO_LOADING</v>
      </c>
      <c r="C1112" s="4">
        <v>25</v>
      </c>
      <c r="D1112" s="3">
        <v>1.6360762</v>
      </c>
      <c r="E1112" s="1">
        <v>1.0135135E-2</v>
      </c>
      <c r="F1112" s="2">
        <v>2.9243628000000001E-2</v>
      </c>
    </row>
    <row r="1113" spans="1:6" x14ac:dyDescent="0.25">
      <c r="A1113" t="s">
        <v>6</v>
      </c>
      <c r="B1113" s="5" t="str">
        <f>HYPERLINK("http://www.broadinstitute.org/gsea/msigdb/cards/GOBP_RESPONSE_TO_CORTICOSTEROID.html","GOBP_RESPONSE_TO_CORTICOSTEROID")</f>
        <v>GOBP_RESPONSE_TO_CORTICOSTEROID</v>
      </c>
      <c r="C1113" s="4">
        <v>98</v>
      </c>
      <c r="D1113" s="3">
        <v>1.6346273</v>
      </c>
      <c r="E1113" s="1">
        <v>1.5384615E-3</v>
      </c>
      <c r="F1113" s="2">
        <v>2.9632047000000002E-2</v>
      </c>
    </row>
    <row r="1114" spans="1:6" x14ac:dyDescent="0.25">
      <c r="A1114" t="s">
        <v>10</v>
      </c>
      <c r="B1114" s="5" t="str">
        <f>HYPERLINK("http://www.broadinstitute.org/gsea/msigdb/cards/REACTOME_PYROPTOSIS.html","REACTOME_PYROPTOSIS")</f>
        <v>REACTOME_PYROPTOSIS</v>
      </c>
      <c r="C1114" s="4">
        <v>20</v>
      </c>
      <c r="D1114" s="3">
        <v>1.6337372999999999</v>
      </c>
      <c r="E1114" s="1">
        <v>2.2336769999999999E-2</v>
      </c>
      <c r="F1114" s="2">
        <v>2.9837418000000001E-2</v>
      </c>
    </row>
    <row r="1115" spans="1:6" x14ac:dyDescent="0.25">
      <c r="A1115" t="s">
        <v>8</v>
      </c>
      <c r="B1115" s="5" t="str">
        <f>HYPERLINK("http://www.broadinstitute.org/gsea/msigdb/cards/GOMF_CADHERIN_BINDING.html","GOMF_CADHERIN_BINDING")</f>
        <v>GOMF_CADHERIN_BINDING</v>
      </c>
      <c r="C1115" s="4">
        <v>69</v>
      </c>
      <c r="D1115" s="3">
        <v>1.6337177000000001</v>
      </c>
      <c r="E1115" s="1">
        <v>1.6260161999999999E-3</v>
      </c>
      <c r="F1115" s="2">
        <v>2.9818353999999998E-2</v>
      </c>
    </row>
    <row r="1116" spans="1:6" x14ac:dyDescent="0.25">
      <c r="A1116" t="s">
        <v>6</v>
      </c>
      <c r="B1116" s="5" t="str">
        <f>HYPERLINK("http://www.broadinstitute.org/gsea/msigdb/cards/GOBP_IMMUNE_RESPONSE_TO_TUMOR_CELL.html","GOBP_IMMUNE_RESPONSE_TO_TUMOR_CELL")</f>
        <v>GOBP_IMMUNE_RESPONSE_TO_TUMOR_CELL</v>
      </c>
      <c r="C1116" s="4">
        <v>28</v>
      </c>
      <c r="D1116" s="3">
        <v>1.6330642</v>
      </c>
      <c r="E1116" s="1">
        <v>6.9930069999999999E-3</v>
      </c>
      <c r="F1116" s="2">
        <v>2.9969938000000002E-2</v>
      </c>
    </row>
    <row r="1117" spans="1:6" x14ac:dyDescent="0.25">
      <c r="A1117" t="s">
        <v>6</v>
      </c>
      <c r="B1117" s="5" t="str">
        <f>HYPERLINK("http://www.broadinstitute.org/gsea/msigdb/cards/GOBP_NEGATIVE_REGULATION_OF_BLOOD_PRESSURE.html","GOBP_NEGATIVE_REGULATION_OF_BLOOD_PRESSURE")</f>
        <v>GOBP_NEGATIVE_REGULATION_OF_BLOOD_PRESSURE</v>
      </c>
      <c r="C1117" s="4">
        <v>65</v>
      </c>
      <c r="D1117" s="3">
        <v>1.6328255</v>
      </c>
      <c r="E1117" s="1">
        <v>1.5082957E-3</v>
      </c>
      <c r="F1117" s="2">
        <v>2.9997464000000001E-2</v>
      </c>
    </row>
    <row r="1118" spans="1:6" x14ac:dyDescent="0.25">
      <c r="A1118" t="s">
        <v>6</v>
      </c>
      <c r="B1118" s="5" t="str">
        <f>HYPERLINK("http://www.broadinstitute.org/gsea/msigdb/cards/GOBP_POSITIVE_REGULATION_OF_TRANSCRIPTION_FROM_RNA_POLYMERASE_II_PROMOTER_INVOLVED_IN_CELLULAR_RESPONSE_TO_CHEMICAL_STIMULUS.html","GOBP_POSITIVE_REGULATION_OF_TRANSCRIPTION_FROM_RNA_POLYMERASE_II_PROMOTER_INVOLVED_IN_CELLULAR_RESPONSE_TO_CHEMICAL_STIMULUS")</f>
        <v>GOBP_POSITIVE_REGULATION_OF_TRANSCRIPTION_FROM_RNA_POLYMERASE_II_PROMOTER_INVOLVED_IN_CELLULAR_RESPONSE_TO_CHEMICAL_STIMULUS</v>
      </c>
      <c r="C1118" s="4">
        <v>16</v>
      </c>
      <c r="D1118" s="3">
        <v>1.6326575999999999</v>
      </c>
      <c r="E1118" s="1">
        <v>1.4134275999999999E-2</v>
      </c>
      <c r="F1118" s="2">
        <v>3.0016187999999999E-2</v>
      </c>
    </row>
    <row r="1119" spans="1:6" x14ac:dyDescent="0.25">
      <c r="A1119" t="s">
        <v>6</v>
      </c>
      <c r="B1119" s="5" t="str">
        <f>HYPERLINK("http://www.broadinstitute.org/gsea/msigdb/cards/GOBP_POSITIVE_REGULATION_OF_INFLAMMASOME_MEDIATED_SIGNALING_PATHWAY.html","GOBP_POSITIVE_REGULATION_OF_INFLAMMASOME_MEDIATED_SIGNALING_PATHWAY")</f>
        <v>GOBP_POSITIVE_REGULATION_OF_INFLAMMASOME_MEDIATED_SIGNALING_PATHWAY</v>
      </c>
      <c r="C1119" s="4">
        <v>21</v>
      </c>
      <c r="D1119" s="3">
        <v>1.6324552000000001</v>
      </c>
      <c r="E1119" s="1">
        <v>1.5873017E-2</v>
      </c>
      <c r="F1119" s="2">
        <v>3.0052312000000001E-2</v>
      </c>
    </row>
    <row r="1120" spans="1:6" x14ac:dyDescent="0.25">
      <c r="A1120" t="s">
        <v>11</v>
      </c>
      <c r="B1120" s="5" t="str">
        <f>HYPERLINK("http://www.broadinstitute.org/gsea/msigdb/cards/WP_EPO_RECEPTOR_SIGNALING.html","WP_EPO_RECEPTOR_SIGNALING")</f>
        <v>WP_EPO_RECEPTOR_SIGNALING</v>
      </c>
      <c r="C1120" s="4">
        <v>25</v>
      </c>
      <c r="D1120" s="3">
        <v>1.6324003</v>
      </c>
      <c r="E1120" s="1">
        <v>1.1965811999999999E-2</v>
      </c>
      <c r="F1120" s="2">
        <v>3.0038089E-2</v>
      </c>
    </row>
    <row r="1121" spans="1:6" x14ac:dyDescent="0.25">
      <c r="A1121" t="s">
        <v>8</v>
      </c>
      <c r="B1121" s="5" t="str">
        <f>HYPERLINK("http://www.broadinstitute.org/gsea/msigdb/cards/GOMF_PROTEASE_BINDING.html","GOMF_PROTEASE_BINDING")</f>
        <v>GOMF_PROTEASE_BINDING</v>
      </c>
      <c r="C1121" s="4">
        <v>174</v>
      </c>
      <c r="D1121" s="3">
        <v>1.6322783999999999</v>
      </c>
      <c r="E1121" s="1">
        <v>0</v>
      </c>
      <c r="F1121" s="2">
        <v>3.0041225000000001E-2</v>
      </c>
    </row>
    <row r="1122" spans="1:6" x14ac:dyDescent="0.25">
      <c r="A1122" t="s">
        <v>8</v>
      </c>
      <c r="B1122" s="5" t="str">
        <f>HYPERLINK("http://www.broadinstitute.org/gsea/msigdb/cards/GOMF_GTP_DEPENDENT_PROTEIN_BINDING.html","GOMF_GTP_DEPENDENT_PROTEIN_BINDING")</f>
        <v>GOMF_GTP_DEPENDENT_PROTEIN_BINDING</v>
      </c>
      <c r="C1122" s="4">
        <v>23</v>
      </c>
      <c r="D1122" s="3">
        <v>1.6321110000000001</v>
      </c>
      <c r="E1122" s="1">
        <v>6.8846814999999999E-3</v>
      </c>
      <c r="F1122" s="2">
        <v>3.0044382000000001E-2</v>
      </c>
    </row>
    <row r="1123" spans="1:6" x14ac:dyDescent="0.25">
      <c r="A1123" t="s">
        <v>8</v>
      </c>
      <c r="B1123" s="5" t="str">
        <f>HYPERLINK("http://www.broadinstitute.org/gsea/msigdb/cards/GOMF_ALDEHYDE_DEHYDROGENASE_NAD_P_PLUS_ACTIVITY.html","GOMF_ALDEHYDE_DEHYDROGENASE_NAD_P_PLUS_ACTIVITY")</f>
        <v>GOMF_ALDEHYDE_DEHYDROGENASE_NAD_P_PLUS_ACTIVITY</v>
      </c>
      <c r="C1123" s="4">
        <v>19</v>
      </c>
      <c r="D1123" s="3">
        <v>1.6319907</v>
      </c>
      <c r="E1123" s="1">
        <v>2.3890786000000001E-2</v>
      </c>
      <c r="F1123" s="2">
        <v>3.0042837999999999E-2</v>
      </c>
    </row>
    <row r="1124" spans="1:6" x14ac:dyDescent="0.25">
      <c r="A1124" t="s">
        <v>6</v>
      </c>
      <c r="B1124" s="5" t="str">
        <f>HYPERLINK("http://www.broadinstitute.org/gsea/msigdb/cards/GOBP_EXTRINSIC_APOPTOTIC_SIGNALING_PATHWAY.html","GOBP_EXTRINSIC_APOPTOTIC_SIGNALING_PATHWAY")</f>
        <v>GOBP_EXTRINSIC_APOPTOTIC_SIGNALING_PATHWAY</v>
      </c>
      <c r="C1124" s="4">
        <v>239</v>
      </c>
      <c r="D1124" s="3">
        <v>1.6309274</v>
      </c>
      <c r="E1124" s="1">
        <v>0</v>
      </c>
      <c r="F1124" s="2">
        <v>3.0327008999999999E-2</v>
      </c>
    </row>
    <row r="1125" spans="1:6" x14ac:dyDescent="0.25">
      <c r="A1125" t="s">
        <v>6</v>
      </c>
      <c r="B1125" s="5" t="str">
        <f>HYPERLINK("http://www.broadinstitute.org/gsea/msigdb/cards/GOBP_PROTEIN_CATABOLIC_PROCESS_IN_THE_VACUOLE.html","GOBP_PROTEIN_CATABOLIC_PROCESS_IN_THE_VACUOLE")</f>
        <v>GOBP_PROTEIN_CATABOLIC_PROCESS_IN_THE_VACUOLE</v>
      </c>
      <c r="C1125" s="4">
        <v>22</v>
      </c>
      <c r="D1125" s="3">
        <v>1.629688</v>
      </c>
      <c r="E1125" s="1">
        <v>1.5384615000000001E-2</v>
      </c>
      <c r="F1125" s="2">
        <v>3.0646848000000001E-2</v>
      </c>
    </row>
    <row r="1126" spans="1:6" x14ac:dyDescent="0.25">
      <c r="A1126" t="s">
        <v>6</v>
      </c>
      <c r="B1126" s="5" t="str">
        <f>HYPERLINK("http://www.broadinstitute.org/gsea/msigdb/cards/GOBP_CHRONIC_INFLAMMATORY_RESPONSE.html","GOBP_CHRONIC_INFLAMMATORY_RESPONSE")</f>
        <v>GOBP_CHRONIC_INFLAMMATORY_RESPONSE</v>
      </c>
      <c r="C1126" s="4">
        <v>20</v>
      </c>
      <c r="D1126" s="3">
        <v>1.6293736999999999</v>
      </c>
      <c r="E1126" s="1">
        <v>1.3605442000000001E-2</v>
      </c>
      <c r="F1126" s="2">
        <v>3.072182E-2</v>
      </c>
    </row>
    <row r="1127" spans="1:6" x14ac:dyDescent="0.25">
      <c r="A1127" t="s">
        <v>10</v>
      </c>
      <c r="B1127" s="5" t="str">
        <f>HYPERLINK("http://www.broadinstitute.org/gsea/msigdb/cards/REACTOME_PROSTACYCLIN_SIGNALLING_THROUGH_PROSTACYCLIN_RECEPTOR.html","REACTOME_PROSTACYCLIN_SIGNALLING_THROUGH_PROSTACYCLIN_RECEPTOR")</f>
        <v>REACTOME_PROSTACYCLIN_SIGNALLING_THROUGH_PROSTACYCLIN_RECEPTOR</v>
      </c>
      <c r="C1127" s="4">
        <v>18</v>
      </c>
      <c r="D1127" s="3">
        <v>1.6293275</v>
      </c>
      <c r="E1127" s="1">
        <v>1.4109347E-2</v>
      </c>
      <c r="F1127" s="2">
        <v>3.0701217999999999E-2</v>
      </c>
    </row>
    <row r="1128" spans="1:6" x14ac:dyDescent="0.25">
      <c r="A1128" t="s">
        <v>10</v>
      </c>
      <c r="B1128" s="5" t="str">
        <f>HYPERLINK("http://www.broadinstitute.org/gsea/msigdb/cards/REACTOME_EXTRA_NUCLEAR_ESTROGEN_SIGNALING.html","REACTOME_EXTRA_NUCLEAR_ESTROGEN_SIGNALING")</f>
        <v>REACTOME_EXTRA_NUCLEAR_ESTROGEN_SIGNALING</v>
      </c>
      <c r="C1128" s="4">
        <v>67</v>
      </c>
      <c r="D1128" s="3">
        <v>1.6291928</v>
      </c>
      <c r="E1128" s="1">
        <v>0</v>
      </c>
      <c r="F1128" s="2">
        <v>3.0711496000000001E-2</v>
      </c>
    </row>
    <row r="1129" spans="1:6" x14ac:dyDescent="0.25">
      <c r="A1129" t="s">
        <v>6</v>
      </c>
      <c r="B1129" s="5" t="str">
        <f>HYPERLINK("http://www.broadinstitute.org/gsea/msigdb/cards/GOBP_VASCULAR_TRANSPORT.html","GOBP_VASCULAR_TRANSPORT")</f>
        <v>GOBP_VASCULAR_TRANSPORT</v>
      </c>
      <c r="C1129" s="4">
        <v>22</v>
      </c>
      <c r="D1129" s="3">
        <v>1.6283574000000001</v>
      </c>
      <c r="E1129" s="1">
        <v>1.7543860000000001E-2</v>
      </c>
      <c r="F1129" s="2">
        <v>3.0908179000000001E-2</v>
      </c>
    </row>
    <row r="1130" spans="1:6" x14ac:dyDescent="0.25">
      <c r="A1130" t="s">
        <v>8</v>
      </c>
      <c r="B1130" s="5" t="str">
        <f>HYPERLINK("http://www.broadinstitute.org/gsea/msigdb/cards/GOMF_METALLOPEPTIDASE_ACTIVITY.html","GOMF_METALLOPEPTIDASE_ACTIVITY")</f>
        <v>GOMF_METALLOPEPTIDASE_ACTIVITY</v>
      </c>
      <c r="C1130" s="4">
        <v>177</v>
      </c>
      <c r="D1130" s="3">
        <v>1.6281049000000001</v>
      </c>
      <c r="E1130" s="1">
        <v>0</v>
      </c>
      <c r="F1130" s="2">
        <v>3.0969093999999999E-2</v>
      </c>
    </row>
    <row r="1131" spans="1:6" x14ac:dyDescent="0.25">
      <c r="A1131" t="s">
        <v>6</v>
      </c>
      <c r="B1131" s="5" t="str">
        <f>HYPERLINK("http://www.broadinstitute.org/gsea/msigdb/cards/GOBP_NEGATIVE_REGULATION_OF_CHEMOTAXIS.html","GOBP_NEGATIVE_REGULATION_OF_CHEMOTAXIS")</f>
        <v>GOBP_NEGATIVE_REGULATION_OF_CHEMOTAXIS</v>
      </c>
      <c r="C1131" s="4">
        <v>56</v>
      </c>
      <c r="D1131" s="3">
        <v>1.6271348000000001</v>
      </c>
      <c r="E1131" s="1">
        <v>3.0165913E-3</v>
      </c>
      <c r="F1131" s="2">
        <v>3.1261176000000002E-2</v>
      </c>
    </row>
    <row r="1132" spans="1:6" x14ac:dyDescent="0.25">
      <c r="A1132" t="s">
        <v>6</v>
      </c>
      <c r="B1132" s="5" t="str">
        <f>HYPERLINK("http://www.broadinstitute.org/gsea/msigdb/cards/GOBP_NEGATIVE_REGULATION_OF_CELL_KILLING.html","GOBP_NEGATIVE_REGULATION_OF_CELL_KILLING")</f>
        <v>GOBP_NEGATIVE_REGULATION_OF_CELL_KILLING</v>
      </c>
      <c r="C1132" s="4">
        <v>45</v>
      </c>
      <c r="D1132" s="3">
        <v>1.6269159</v>
      </c>
      <c r="E1132" s="1">
        <v>6.6445180000000003E-3</v>
      </c>
      <c r="F1132" s="2">
        <v>3.1297850000000002E-2</v>
      </c>
    </row>
    <row r="1133" spans="1:6" x14ac:dyDescent="0.25">
      <c r="A1133" t="s">
        <v>6</v>
      </c>
      <c r="B1133" s="5" t="str">
        <f>HYPERLINK("http://www.broadinstitute.org/gsea/msigdb/cards/GOBP_ERBB_SIGNALING_PATHWAY.html","GOBP_ERBB_SIGNALING_PATHWAY")</f>
        <v>GOBP_ERBB_SIGNALING_PATHWAY</v>
      </c>
      <c r="C1133" s="4">
        <v>123</v>
      </c>
      <c r="D1133" s="3">
        <v>1.6267541999999999</v>
      </c>
      <c r="E1133" s="1">
        <v>1.4577259999999999E-3</v>
      </c>
      <c r="F1133" s="2">
        <v>3.1328639999999998E-2</v>
      </c>
    </row>
    <row r="1134" spans="1:6" x14ac:dyDescent="0.25">
      <c r="A1134" t="s">
        <v>6</v>
      </c>
      <c r="B1134" s="5" t="str">
        <f>HYPERLINK("http://www.broadinstitute.org/gsea/msigdb/cards/GOBP_POSITIVE_REGULATION_OF_CELL_MATRIX_ADHESION.html","GOBP_POSITIVE_REGULATION_OF_CELL_MATRIX_ADHESION")</f>
        <v>GOBP_POSITIVE_REGULATION_OF_CELL_MATRIX_ADHESION</v>
      </c>
      <c r="C1134" s="4">
        <v>63</v>
      </c>
      <c r="D1134" s="3">
        <v>1.6263969</v>
      </c>
      <c r="E1134" s="1">
        <v>1.5974441E-3</v>
      </c>
      <c r="F1134" s="2">
        <v>3.1415070000000003E-2</v>
      </c>
    </row>
    <row r="1135" spans="1:6" x14ac:dyDescent="0.25">
      <c r="A1135" t="s">
        <v>6</v>
      </c>
      <c r="B1135" s="5" t="str">
        <f>HYPERLINK("http://www.broadinstitute.org/gsea/msigdb/cards/GOBP_REGULATION_OF_T_HELPER_17_CELL_DIFFERENTIATION.html","GOBP_REGULATION_OF_T_HELPER_17_CELL_DIFFERENTIATION")</f>
        <v>GOBP_REGULATION_OF_T_HELPER_17_CELL_DIFFERENTIATION</v>
      </c>
      <c r="C1135" s="4">
        <v>19</v>
      </c>
      <c r="D1135" s="3">
        <v>1.6257322000000001</v>
      </c>
      <c r="E1135" s="1">
        <v>1.3605442000000001E-2</v>
      </c>
      <c r="F1135" s="2">
        <v>3.1601589999999999E-2</v>
      </c>
    </row>
    <row r="1136" spans="1:6" x14ac:dyDescent="0.25">
      <c r="A1136" t="s">
        <v>6</v>
      </c>
      <c r="B1136" s="5" t="str">
        <f>HYPERLINK("http://www.broadinstitute.org/gsea/msigdb/cards/GOBP_REGULATION_OF_INTEGRIN_ACTIVATION.html","GOBP_REGULATION_OF_INTEGRIN_ACTIVATION")</f>
        <v>GOBP_REGULATION_OF_INTEGRIN_ACTIVATION</v>
      </c>
      <c r="C1136" s="4">
        <v>18</v>
      </c>
      <c r="D1136" s="3">
        <v>1.6255975</v>
      </c>
      <c r="E1136" s="1">
        <v>1.4010508E-2</v>
      </c>
      <c r="F1136" s="2">
        <v>3.1610154000000001E-2</v>
      </c>
    </row>
    <row r="1137" spans="1:6" x14ac:dyDescent="0.25">
      <c r="A1137" t="s">
        <v>6</v>
      </c>
      <c r="B1137" s="5" t="str">
        <f>HYPERLINK("http://www.broadinstitute.org/gsea/msigdb/cards/GOBP_RAS_PROTEIN_SIGNAL_TRANSDUCTION.html","GOBP_RAS_PROTEIN_SIGNAL_TRANSDUCTION")</f>
        <v>GOBP_RAS_PROTEIN_SIGNAL_TRANSDUCTION</v>
      </c>
      <c r="C1137" s="4">
        <v>337</v>
      </c>
      <c r="D1137" s="3">
        <v>1.6253085</v>
      </c>
      <c r="E1137" s="1">
        <v>0</v>
      </c>
      <c r="F1137" s="2">
        <v>3.1684360000000002E-2</v>
      </c>
    </row>
    <row r="1138" spans="1:6" x14ac:dyDescent="0.25">
      <c r="A1138" t="s">
        <v>6</v>
      </c>
      <c r="B1138" s="5" t="str">
        <f>HYPERLINK("http://www.broadinstitute.org/gsea/msigdb/cards/GOBP_REGULATION_OF_CELL_SUBSTRATE_JUNCTION_ORGANIZATION.html","GOBP_REGULATION_OF_CELL_SUBSTRATE_JUNCTION_ORGANIZATION")</f>
        <v>GOBP_REGULATION_OF_CELL_SUBSTRATE_JUNCTION_ORGANIZATION</v>
      </c>
      <c r="C1138" s="4">
        <v>69</v>
      </c>
      <c r="D1138" s="3">
        <v>1.6251589</v>
      </c>
      <c r="E1138" s="1">
        <v>3.0581039999999999E-3</v>
      </c>
      <c r="F1138" s="2">
        <v>3.1706089999999999E-2</v>
      </c>
    </row>
    <row r="1139" spans="1:6" x14ac:dyDescent="0.25">
      <c r="A1139" t="s">
        <v>5</v>
      </c>
      <c r="B1139" s="5" t="str">
        <f>HYPERLINK("http://www.broadinstitute.org/gsea/msigdb/cards/BIOCARTA_ETS_PATHWAY.html","BIOCARTA_ETS_PATHWAY")</f>
        <v>BIOCARTA_ETS_PATHWAY</v>
      </c>
      <c r="C1139" s="4">
        <v>17</v>
      </c>
      <c r="D1139" s="3">
        <v>1.625154</v>
      </c>
      <c r="E1139" s="1">
        <v>1.7699115000000001E-2</v>
      </c>
      <c r="F1139" s="2">
        <v>3.1681015999999999E-2</v>
      </c>
    </row>
    <row r="1140" spans="1:6" x14ac:dyDescent="0.25">
      <c r="A1140" t="s">
        <v>6</v>
      </c>
      <c r="B1140" s="5" t="str">
        <f>HYPERLINK("http://www.broadinstitute.org/gsea/msigdb/cards/GOBP_PROTEIN_N_LINKED_GLYCOSYLATION_VIA_ASPARAGINE.html","GOBP_PROTEIN_N_LINKED_GLYCOSYLATION_VIA_ASPARAGINE")</f>
        <v>GOBP_PROTEIN_N_LINKED_GLYCOSYLATION_VIA_ASPARAGINE</v>
      </c>
      <c r="C1140" s="4">
        <v>18</v>
      </c>
      <c r="D1140" s="3">
        <v>1.6245432</v>
      </c>
      <c r="E1140" s="1">
        <v>1.5254238E-2</v>
      </c>
      <c r="F1140" s="2">
        <v>3.1810409999999997E-2</v>
      </c>
    </row>
    <row r="1141" spans="1:6" x14ac:dyDescent="0.25">
      <c r="A1141" t="s">
        <v>6</v>
      </c>
      <c r="B1141" s="5" t="str">
        <f>HYPERLINK("http://www.broadinstitute.org/gsea/msigdb/cards/GOBP_REGULATION_OF_LIPID_KINASE_ACTIVITY.html","GOBP_REGULATION_OF_LIPID_KINASE_ACTIVITY")</f>
        <v>GOBP_REGULATION_OF_LIPID_KINASE_ACTIVITY</v>
      </c>
      <c r="C1141" s="4">
        <v>36</v>
      </c>
      <c r="D1141" s="3">
        <v>1.6242805</v>
      </c>
      <c r="E1141" s="1">
        <v>8.4317030000000005E-3</v>
      </c>
      <c r="F1141" s="2">
        <v>3.1860378000000002E-2</v>
      </c>
    </row>
    <row r="1142" spans="1:6" x14ac:dyDescent="0.25">
      <c r="A1142" t="s">
        <v>8</v>
      </c>
      <c r="B1142" s="5" t="str">
        <f>HYPERLINK("http://www.broadinstitute.org/gsea/msigdb/cards/GOMF_COMPLEMENT_BINDING.html","GOMF_COMPLEMENT_BINDING")</f>
        <v>GOMF_COMPLEMENT_BINDING</v>
      </c>
      <c r="C1142" s="4">
        <v>24</v>
      </c>
      <c r="D1142" s="3">
        <v>1.6240186999999999</v>
      </c>
      <c r="E1142" s="1">
        <v>2.0512821000000001E-2</v>
      </c>
      <c r="F1142" s="2">
        <v>3.1904782999999999E-2</v>
      </c>
    </row>
    <row r="1143" spans="1:6" x14ac:dyDescent="0.25">
      <c r="A1143" t="s">
        <v>6</v>
      </c>
      <c r="B1143" s="5" t="str">
        <f>HYPERLINK("http://www.broadinstitute.org/gsea/msigdb/cards/GOBP_REGULATION_OF_RIBONUCLEASE_ACTIVITY.html","GOBP_REGULATION_OF_RIBONUCLEASE_ACTIVITY")</f>
        <v>GOBP_REGULATION_OF_RIBONUCLEASE_ACTIVITY</v>
      </c>
      <c r="C1143" s="4">
        <v>15</v>
      </c>
      <c r="D1143" s="3">
        <v>1.6237158</v>
      </c>
      <c r="E1143" s="1">
        <v>2.1885522000000001E-2</v>
      </c>
      <c r="F1143" s="2">
        <v>3.1973515000000001E-2</v>
      </c>
    </row>
    <row r="1144" spans="1:6" x14ac:dyDescent="0.25">
      <c r="A1144" t="s">
        <v>7</v>
      </c>
      <c r="B1144" s="5" t="str">
        <f>HYPERLINK("http://www.broadinstitute.org/gsea/msigdb/cards/GOCC_EXTRINSIC_COMPONENT_OF_PLASMA_MEMBRANE.html","GOCC_EXTRINSIC_COMPONENT_OF_PLASMA_MEMBRANE")</f>
        <v>GOCC_EXTRINSIC_COMPONENT_OF_PLASMA_MEMBRANE</v>
      </c>
      <c r="C1144" s="4">
        <v>145</v>
      </c>
      <c r="D1144" s="3">
        <v>1.6228978999999999</v>
      </c>
      <c r="E1144" s="1">
        <v>0</v>
      </c>
      <c r="F1144" s="2">
        <v>3.2178779999999997E-2</v>
      </c>
    </row>
    <row r="1145" spans="1:6" x14ac:dyDescent="0.25">
      <c r="A1145" t="s">
        <v>6</v>
      </c>
      <c r="B1145" s="5" t="str">
        <f>HYPERLINK("http://www.broadinstitute.org/gsea/msigdb/cards/GOBP_NUCLEOSIDE_MONOPHOSPHATE_CATABOLIC_PROCESS.html","GOBP_NUCLEOSIDE_MONOPHOSPHATE_CATABOLIC_PROCESS")</f>
        <v>GOBP_NUCLEOSIDE_MONOPHOSPHATE_CATABOLIC_PROCESS</v>
      </c>
      <c r="C1145" s="4">
        <v>24</v>
      </c>
      <c r="D1145" s="3">
        <v>1.6228639</v>
      </c>
      <c r="E1145" s="1">
        <v>8.8809939999999997E-3</v>
      </c>
      <c r="F1145" s="2">
        <v>3.2161966E-2</v>
      </c>
    </row>
    <row r="1146" spans="1:6" x14ac:dyDescent="0.25">
      <c r="A1146" t="s">
        <v>6</v>
      </c>
      <c r="B1146" s="5" t="str">
        <f>HYPERLINK("http://www.broadinstitute.org/gsea/msigdb/cards/GOBP_RIBONUCLEOTIDE_CATABOLIC_PROCESS.html","GOBP_RIBONUCLEOTIDE_CATABOLIC_PROCESS")</f>
        <v>GOBP_RIBONUCLEOTIDE_CATABOLIC_PROCESS</v>
      </c>
      <c r="C1146" s="4">
        <v>47</v>
      </c>
      <c r="D1146" s="3">
        <v>1.622676</v>
      </c>
      <c r="E1146" s="1">
        <v>6.2695922999999997E-3</v>
      </c>
      <c r="F1146" s="2">
        <v>3.2184022999999999E-2</v>
      </c>
    </row>
    <row r="1147" spans="1:6" x14ac:dyDescent="0.25">
      <c r="A1147" t="s">
        <v>10</v>
      </c>
      <c r="B1147" s="5" t="str">
        <f>HYPERLINK("http://www.broadinstitute.org/gsea/msigdb/cards/REACTOME_INTERLEUKIN_2_FAMILY_SIGNALING.html","REACTOME_INTERLEUKIN_2_FAMILY_SIGNALING")</f>
        <v>REACTOME_INTERLEUKIN_2_FAMILY_SIGNALING</v>
      </c>
      <c r="C1147" s="4">
        <v>31</v>
      </c>
      <c r="D1147" s="3">
        <v>1.6226661</v>
      </c>
      <c r="E1147" s="1">
        <v>6.8259384000000003E-3</v>
      </c>
      <c r="F1147" s="2">
        <v>3.2157789999999999E-2</v>
      </c>
    </row>
    <row r="1148" spans="1:6" x14ac:dyDescent="0.25">
      <c r="A1148" t="s">
        <v>8</v>
      </c>
      <c r="B1148" s="5" t="str">
        <f>HYPERLINK("http://www.broadinstitute.org/gsea/msigdb/cards/GOMF_HEPARAN_SULFATE_PROTEOGLYCAN_BINDING.html","GOMF_HEPARAN_SULFATE_PROTEOGLYCAN_BINDING")</f>
        <v>GOMF_HEPARAN_SULFATE_PROTEOGLYCAN_BINDING</v>
      </c>
      <c r="C1148" s="4">
        <v>21</v>
      </c>
      <c r="D1148" s="3">
        <v>1.6220337</v>
      </c>
      <c r="E1148" s="1">
        <v>1.8803420000000001E-2</v>
      </c>
      <c r="F1148" s="2">
        <v>3.2329094000000003E-2</v>
      </c>
    </row>
    <row r="1149" spans="1:6" x14ac:dyDescent="0.25">
      <c r="A1149" t="s">
        <v>6</v>
      </c>
      <c r="B1149" s="5" t="str">
        <f>HYPERLINK("http://www.broadinstitute.org/gsea/msigdb/cards/GOBP_PROTEIN_LOCALIZATION_TO_ENDOSOME.html","GOBP_PROTEIN_LOCALIZATION_TO_ENDOSOME")</f>
        <v>GOBP_PROTEIN_LOCALIZATION_TO_ENDOSOME</v>
      </c>
      <c r="C1149" s="4">
        <v>28</v>
      </c>
      <c r="D1149" s="3">
        <v>1.6220201999999999</v>
      </c>
      <c r="E1149" s="1">
        <v>1.2006861000000001E-2</v>
      </c>
      <c r="F1149" s="2">
        <v>3.2304689999999997E-2</v>
      </c>
    </row>
    <row r="1150" spans="1:6" x14ac:dyDescent="0.25">
      <c r="A1150" t="s">
        <v>8</v>
      </c>
      <c r="B1150" s="5" t="str">
        <f>HYPERLINK("http://www.broadinstitute.org/gsea/msigdb/cards/GOMF_SIGNALING_RECEPTOR_INHIBITOR_ACTIVITY.html","GOMF_SIGNALING_RECEPTOR_INHIBITOR_ACTIVITY")</f>
        <v>GOMF_SIGNALING_RECEPTOR_INHIBITOR_ACTIVITY</v>
      </c>
      <c r="C1150" s="4">
        <v>34</v>
      </c>
      <c r="D1150" s="3">
        <v>1.6219136999999999</v>
      </c>
      <c r="E1150" s="1">
        <v>1.1345219E-2</v>
      </c>
      <c r="F1150" s="2">
        <v>3.2311365000000002E-2</v>
      </c>
    </row>
    <row r="1151" spans="1:6" x14ac:dyDescent="0.25">
      <c r="A1151" t="s">
        <v>6</v>
      </c>
      <c r="B1151" s="5" t="str">
        <f>HYPERLINK("http://www.broadinstitute.org/gsea/msigdb/cards/GOBP_VIRAL_GENOME_REPLICATION.html","GOBP_VIRAL_GENOME_REPLICATION")</f>
        <v>GOBP_VIRAL_GENOME_REPLICATION</v>
      </c>
      <c r="C1151" s="4">
        <v>116</v>
      </c>
      <c r="D1151" s="3">
        <v>1.6217161</v>
      </c>
      <c r="E1151" s="1">
        <v>2.8490028000000001E-3</v>
      </c>
      <c r="F1151" s="2">
        <v>3.2334223000000002E-2</v>
      </c>
    </row>
    <row r="1152" spans="1:6" x14ac:dyDescent="0.25">
      <c r="A1152" t="s">
        <v>6</v>
      </c>
      <c r="B1152" s="5" t="str">
        <f>HYPERLINK("http://www.broadinstitute.org/gsea/msigdb/cards/GOBP_REGULATION_OF_MACROAUTOPHAGY.html","GOBP_REGULATION_OF_MACROAUTOPHAGY")</f>
        <v>GOBP_REGULATION_OF_MACROAUTOPHAGY</v>
      </c>
      <c r="C1152" s="4">
        <v>116</v>
      </c>
      <c r="D1152" s="3">
        <v>1.6216868</v>
      </c>
      <c r="E1152" s="1">
        <v>1.5060239999999999E-3</v>
      </c>
      <c r="F1152" s="2">
        <v>3.2312670000000002E-2</v>
      </c>
    </row>
    <row r="1153" spans="1:6" x14ac:dyDescent="0.25">
      <c r="A1153" t="s">
        <v>6</v>
      </c>
      <c r="B1153" s="5" t="str">
        <f>HYPERLINK("http://www.broadinstitute.org/gsea/msigdb/cards/GOBP_NITRIC_OXIDE_MEDIATED_SIGNAL_TRANSDUCTION.html","GOBP_NITRIC_OXIDE_MEDIATED_SIGNAL_TRANSDUCTION")</f>
        <v>GOBP_NITRIC_OXIDE_MEDIATED_SIGNAL_TRANSDUCTION</v>
      </c>
      <c r="C1153" s="4">
        <v>27</v>
      </c>
      <c r="D1153" s="3">
        <v>1.6209761</v>
      </c>
      <c r="E1153" s="1">
        <v>1.3675214E-2</v>
      </c>
      <c r="F1153" s="2">
        <v>3.2488959999999997E-2</v>
      </c>
    </row>
    <row r="1154" spans="1:6" x14ac:dyDescent="0.25">
      <c r="A1154" t="s">
        <v>6</v>
      </c>
      <c r="B1154" s="5" t="str">
        <f>HYPERLINK("http://www.broadinstitute.org/gsea/msigdb/cards/GOBP_REGULATION_OF_LYMPHOCYTE_APOPTOTIC_PROCESS.html","GOBP_REGULATION_OF_LYMPHOCYTE_APOPTOTIC_PROCESS")</f>
        <v>GOBP_REGULATION_OF_LYMPHOCYTE_APOPTOTIC_PROCESS</v>
      </c>
      <c r="C1154" s="4">
        <v>73</v>
      </c>
      <c r="D1154" s="3">
        <v>1.620385</v>
      </c>
      <c r="E1154" s="1">
        <v>3.0303029999999998E-3</v>
      </c>
      <c r="F1154" s="2">
        <v>3.2643831999999998E-2</v>
      </c>
    </row>
    <row r="1155" spans="1:6" x14ac:dyDescent="0.25">
      <c r="A1155" t="s">
        <v>10</v>
      </c>
      <c r="B1155" s="5" t="str">
        <f>HYPERLINK("http://www.broadinstitute.org/gsea/msigdb/cards/REACTOME_INTERLEUKIN_17_SIGNALING.html","REACTOME_INTERLEUKIN_17_SIGNALING")</f>
        <v>REACTOME_INTERLEUKIN_17_SIGNALING</v>
      </c>
      <c r="C1155" s="4">
        <v>58</v>
      </c>
      <c r="D1155" s="3">
        <v>1.6202403000000001</v>
      </c>
      <c r="E1155" s="1">
        <v>6.7453627000000002E-3</v>
      </c>
      <c r="F1155" s="2">
        <v>3.2662477000000002E-2</v>
      </c>
    </row>
    <row r="1156" spans="1:6" x14ac:dyDescent="0.25">
      <c r="A1156" t="s">
        <v>6</v>
      </c>
      <c r="B1156" s="5" t="str">
        <f>HYPERLINK("http://www.broadinstitute.org/gsea/msigdb/cards/GOBP_POSITIVE_REGULATION_OF_LEUKOCYTE_APOPTOTIC_PROCESS.html","GOBP_POSITIVE_REGULATION_OF_LEUKOCYTE_APOPTOTIC_PROCESS")</f>
        <v>GOBP_POSITIVE_REGULATION_OF_LEUKOCYTE_APOPTOTIC_PROCESS</v>
      </c>
      <c r="C1156" s="4">
        <v>33</v>
      </c>
      <c r="D1156" s="3">
        <v>1.6201671</v>
      </c>
      <c r="E1156" s="1">
        <v>1.1884550000000001E-2</v>
      </c>
      <c r="F1156" s="2">
        <v>3.2655742000000001E-2</v>
      </c>
    </row>
    <row r="1157" spans="1:6" x14ac:dyDescent="0.25">
      <c r="A1157" t="s">
        <v>6</v>
      </c>
      <c r="B1157" s="5" t="str">
        <f>HYPERLINK("http://www.broadinstitute.org/gsea/msigdb/cards/GOBP_REGULATION_OF_BLOOD_PRESSURE.html","GOBP_REGULATION_OF_BLOOD_PRESSURE")</f>
        <v>GOBP_REGULATION_OF_BLOOD_PRESSURE</v>
      </c>
      <c r="C1157" s="4">
        <v>204</v>
      </c>
      <c r="D1157" s="3">
        <v>1.6201471999999999</v>
      </c>
      <c r="E1157" s="1">
        <v>0</v>
      </c>
      <c r="F1157" s="2">
        <v>3.2631189999999997E-2</v>
      </c>
    </row>
    <row r="1158" spans="1:6" x14ac:dyDescent="0.25">
      <c r="A1158" t="s">
        <v>6</v>
      </c>
      <c r="B1158" s="5" t="str">
        <f>HYPERLINK("http://www.broadinstitute.org/gsea/msigdb/cards/GOBP_CYTOSOLIC_TRANSPORT.html","GOBP_CYTOSOLIC_TRANSPORT")</f>
        <v>GOBP_CYTOSOLIC_TRANSPORT</v>
      </c>
      <c r="C1158" s="4">
        <v>166</v>
      </c>
      <c r="D1158" s="3">
        <v>1.6184018</v>
      </c>
      <c r="E1158" s="1">
        <v>2.9069767000000002E-3</v>
      </c>
      <c r="F1158" s="2">
        <v>3.3106803999999997E-2</v>
      </c>
    </row>
    <row r="1159" spans="1:6" x14ac:dyDescent="0.25">
      <c r="A1159" t="s">
        <v>6</v>
      </c>
      <c r="B1159" s="5" t="str">
        <f>HYPERLINK("http://www.broadinstitute.org/gsea/msigdb/cards/GOBP_INTRACELLULAR_IRON_ION_HOMEOSTASIS.html","GOBP_INTRACELLULAR_IRON_ION_HOMEOSTASIS")</f>
        <v>GOBP_INTRACELLULAR_IRON_ION_HOMEOSTASIS</v>
      </c>
      <c r="C1159" s="4">
        <v>67</v>
      </c>
      <c r="D1159" s="3">
        <v>1.6179661999999999</v>
      </c>
      <c r="E1159" s="1">
        <v>0</v>
      </c>
      <c r="F1159" s="2">
        <v>3.3216773999999998E-2</v>
      </c>
    </row>
    <row r="1160" spans="1:6" x14ac:dyDescent="0.25">
      <c r="A1160" t="s">
        <v>6</v>
      </c>
      <c r="B1160" s="5" t="str">
        <f>HYPERLINK("http://www.broadinstitute.org/gsea/msigdb/cards/GOBP_REGULATION_OF_TOLL_LIKE_RECEPTOR_SIGNALING_PATHWAY.html","GOBP_REGULATION_OF_TOLL_LIKE_RECEPTOR_SIGNALING_PATHWAY")</f>
        <v>GOBP_REGULATION_OF_TOLL_LIKE_RECEPTOR_SIGNALING_PATHWAY</v>
      </c>
      <c r="C1160" s="4">
        <v>28</v>
      </c>
      <c r="D1160" s="3">
        <v>1.6176423</v>
      </c>
      <c r="E1160" s="1">
        <v>1.369863E-2</v>
      </c>
      <c r="F1160" s="2">
        <v>3.3278799999999997E-2</v>
      </c>
    </row>
    <row r="1161" spans="1:6" x14ac:dyDescent="0.25">
      <c r="A1161" t="s">
        <v>6</v>
      </c>
      <c r="B1161" s="5" t="str">
        <f>HYPERLINK("http://www.broadinstitute.org/gsea/msigdb/cards/GOBP_PROTEIN_HYDROXYLATION.html","GOBP_PROTEIN_HYDROXYLATION")</f>
        <v>GOBP_PROTEIN_HYDROXYLATION</v>
      </c>
      <c r="C1161" s="4">
        <v>28</v>
      </c>
      <c r="D1161" s="3">
        <v>1.6172403</v>
      </c>
      <c r="E1161" s="1">
        <v>7.0052539999999998E-3</v>
      </c>
      <c r="F1161" s="2">
        <v>3.3368849999999999E-2</v>
      </c>
    </row>
    <row r="1162" spans="1:6" x14ac:dyDescent="0.25">
      <c r="A1162" t="s">
        <v>6</v>
      </c>
      <c r="B1162" s="5" t="str">
        <f>HYPERLINK("http://www.broadinstitute.org/gsea/msigdb/cards/GOBP_RENAL_FILTRATION.html","GOBP_RENAL_FILTRATION")</f>
        <v>GOBP_RENAL_FILTRATION</v>
      </c>
      <c r="C1162" s="4">
        <v>29</v>
      </c>
      <c r="D1162" s="3">
        <v>1.617083</v>
      </c>
      <c r="E1162" s="1">
        <v>5.1369863000000002E-3</v>
      </c>
      <c r="F1162" s="2">
        <v>3.3385836000000002E-2</v>
      </c>
    </row>
    <row r="1163" spans="1:6" x14ac:dyDescent="0.25">
      <c r="A1163" t="s">
        <v>6</v>
      </c>
      <c r="B1163" s="5" t="str">
        <f>HYPERLINK("http://www.broadinstitute.org/gsea/msigdb/cards/GOBP_PROTEIN_TARGETING_TO_VACUOLE.html","GOBP_PROTEIN_TARGETING_TO_VACUOLE")</f>
        <v>GOBP_PROTEIN_TARGETING_TO_VACUOLE</v>
      </c>
      <c r="C1163" s="4">
        <v>46</v>
      </c>
      <c r="D1163" s="3">
        <v>1.616233</v>
      </c>
      <c r="E1163" s="1">
        <v>9.9502484999999998E-3</v>
      </c>
      <c r="F1163" s="2">
        <v>3.3610042E-2</v>
      </c>
    </row>
    <row r="1164" spans="1:6" x14ac:dyDescent="0.25">
      <c r="A1164" t="s">
        <v>6</v>
      </c>
      <c r="B1164" s="5" t="str">
        <f>HYPERLINK("http://www.broadinstitute.org/gsea/msigdb/cards/GOBP_NEGATIVE_REGULATION_OF_ORGANIC_ACID_TRANSPORT.html","GOBP_NEGATIVE_REGULATION_OF_ORGANIC_ACID_TRANSPORT")</f>
        <v>GOBP_NEGATIVE_REGULATION_OF_ORGANIC_ACID_TRANSPORT</v>
      </c>
      <c r="C1164" s="4">
        <v>30</v>
      </c>
      <c r="D1164" s="3">
        <v>1.6145731000000001</v>
      </c>
      <c r="E1164" s="1">
        <v>1.4563107E-2</v>
      </c>
      <c r="F1164" s="2">
        <v>3.4103524000000003E-2</v>
      </c>
    </row>
    <row r="1165" spans="1:6" x14ac:dyDescent="0.25">
      <c r="A1165" t="s">
        <v>10</v>
      </c>
      <c r="B1165" s="5" t="str">
        <f>HYPERLINK("http://www.broadinstitute.org/gsea/msigdb/cards/REACTOME_ADP_SIGNALLING_THROUGH_P2Y_PURINOCEPTOR_1.html","REACTOME_ADP_SIGNALLING_THROUGH_P2Y_PURINOCEPTOR_1")</f>
        <v>REACTOME_ADP_SIGNALLING_THROUGH_P2Y_PURINOCEPTOR_1</v>
      </c>
      <c r="C1165" s="4">
        <v>24</v>
      </c>
      <c r="D1165" s="3">
        <v>1.6138155000000001</v>
      </c>
      <c r="E1165" s="1">
        <v>1.6949153000000002E-2</v>
      </c>
      <c r="F1165" s="2">
        <v>3.4325660000000001E-2</v>
      </c>
    </row>
    <row r="1166" spans="1:6" x14ac:dyDescent="0.25">
      <c r="A1166" t="s">
        <v>6</v>
      </c>
      <c r="B1166" s="5" t="str">
        <f>HYPERLINK("http://www.broadinstitute.org/gsea/msigdb/cards/GOBP_MULTICELLULAR_ORGANISMAL_LEVEL_CHEMICAL_HOMEOSTASIS.html","GOBP_MULTICELLULAR_ORGANISMAL_LEVEL_CHEMICAL_HOMEOSTASIS")</f>
        <v>GOBP_MULTICELLULAR_ORGANISMAL_LEVEL_CHEMICAL_HOMEOSTASIS</v>
      </c>
      <c r="C1166" s="4">
        <v>82</v>
      </c>
      <c r="D1166" s="3">
        <v>1.613324</v>
      </c>
      <c r="E1166" s="1">
        <v>4.7021939999999998E-3</v>
      </c>
      <c r="F1166" s="2">
        <v>3.4457295999999998E-2</v>
      </c>
    </row>
    <row r="1167" spans="1:6" x14ac:dyDescent="0.25">
      <c r="A1167" t="s">
        <v>9</v>
      </c>
      <c r="B1167" s="5" t="str">
        <f>HYPERLINK("http://www.broadinstitute.org/gsea/msigdb/cards/HALLMARK_GLYCOLYSIS.html","HALLMARK_GLYCOLYSIS")</f>
        <v>HALLMARK_GLYCOLYSIS</v>
      </c>
      <c r="C1167" s="4">
        <v>198</v>
      </c>
      <c r="D1167" s="3">
        <v>1.6132569999999999</v>
      </c>
      <c r="E1167" s="1">
        <v>0</v>
      </c>
      <c r="F1167" s="2">
        <v>3.4447245000000001E-2</v>
      </c>
    </row>
    <row r="1168" spans="1:6" x14ac:dyDescent="0.25">
      <c r="A1168" t="s">
        <v>8</v>
      </c>
      <c r="B1168" s="5" t="str">
        <f>HYPERLINK("http://www.broadinstitute.org/gsea/msigdb/cards/GOMF_SMAD_BINDING.html","GOMF_SMAD_BINDING")</f>
        <v>GOMF_SMAD_BINDING</v>
      </c>
      <c r="C1168" s="4">
        <v>85</v>
      </c>
      <c r="D1168" s="3">
        <v>1.6132556</v>
      </c>
      <c r="E1168" s="1">
        <v>3.0487804000000002E-3</v>
      </c>
      <c r="F1168" s="2">
        <v>3.4417674000000002E-2</v>
      </c>
    </row>
    <row r="1169" spans="1:6" x14ac:dyDescent="0.25">
      <c r="A1169" t="s">
        <v>10</v>
      </c>
      <c r="B1169" s="5" t="str">
        <f>HYPERLINK("http://www.broadinstitute.org/gsea/msigdb/cards/REACTOME_FORMATION_OF_FIBRIN_CLOT_CLOTTING_CASCADE.html","REACTOME_FORMATION_OF_FIBRIN_CLOT_CLOTTING_CASCADE")</f>
        <v>REACTOME_FORMATION_OF_FIBRIN_CLOT_CLOTTING_CASCADE</v>
      </c>
      <c r="C1169" s="4">
        <v>37</v>
      </c>
      <c r="D1169" s="3">
        <v>1.6129632</v>
      </c>
      <c r="E1169" s="1">
        <v>1.5050167E-2</v>
      </c>
      <c r="F1169" s="2">
        <v>3.4470815000000002E-2</v>
      </c>
    </row>
    <row r="1170" spans="1:6" x14ac:dyDescent="0.25">
      <c r="A1170" t="s">
        <v>10</v>
      </c>
      <c r="B1170" s="5" t="str">
        <f>HYPERLINK("http://www.broadinstitute.org/gsea/msigdb/cards/REACTOME_G_ALPHA_S_SIGNALLING_EVENTS.html","REACTOME_G_ALPHA_S_SIGNALLING_EVENTS")</f>
        <v>REACTOME_G_ALPHA_S_SIGNALLING_EVENTS</v>
      </c>
      <c r="C1170" s="4">
        <v>121</v>
      </c>
      <c r="D1170" s="3">
        <v>1.6128994000000001</v>
      </c>
      <c r="E1170" s="1">
        <v>0</v>
      </c>
      <c r="F1170" s="2">
        <v>3.446453E-2</v>
      </c>
    </row>
    <row r="1171" spans="1:6" x14ac:dyDescent="0.25">
      <c r="A1171" t="s">
        <v>6</v>
      </c>
      <c r="B1171" s="5" t="str">
        <f>HYPERLINK("http://www.broadinstitute.org/gsea/msigdb/cards/GOBP_ACTIN_NUCLEATION.html","GOBP_ACTIN_NUCLEATION")</f>
        <v>GOBP_ACTIN_NUCLEATION</v>
      </c>
      <c r="C1171" s="4">
        <v>55</v>
      </c>
      <c r="D1171" s="3">
        <v>1.6128513</v>
      </c>
      <c r="E1171" s="1">
        <v>9.4488190000000007E-3</v>
      </c>
      <c r="F1171" s="2">
        <v>3.4451719999999998E-2</v>
      </c>
    </row>
    <row r="1172" spans="1:6" x14ac:dyDescent="0.25">
      <c r="A1172" t="s">
        <v>6</v>
      </c>
      <c r="B1172" s="5" t="str">
        <f>HYPERLINK("http://www.broadinstitute.org/gsea/msigdb/cards/GOBP_SMOOTH_MUSCLE_CELL_PROLIFERATION.html","GOBP_SMOOTH_MUSCLE_CELL_PROLIFERATION")</f>
        <v>GOBP_SMOOTH_MUSCLE_CELL_PROLIFERATION</v>
      </c>
      <c r="C1172" s="4">
        <v>196</v>
      </c>
      <c r="D1172" s="3">
        <v>1.6119496</v>
      </c>
      <c r="E1172" s="1">
        <v>0</v>
      </c>
      <c r="F1172" s="2">
        <v>3.4714996999999997E-2</v>
      </c>
    </row>
    <row r="1173" spans="1:6" x14ac:dyDescent="0.25">
      <c r="A1173" t="s">
        <v>6</v>
      </c>
      <c r="B1173" s="5" t="str">
        <f>HYPERLINK("http://www.broadinstitute.org/gsea/msigdb/cards/GOBP_NEGATIVE_REGULATION_OF_SPROUTING_ANGIOGENESIS.html","GOBP_NEGATIVE_REGULATION_OF_SPROUTING_ANGIOGENESIS")</f>
        <v>GOBP_NEGATIVE_REGULATION_OF_SPROUTING_ANGIOGENESIS</v>
      </c>
      <c r="C1173" s="4">
        <v>15</v>
      </c>
      <c r="D1173" s="3">
        <v>1.6118777</v>
      </c>
      <c r="E1173" s="1">
        <v>2.2727272999999999E-2</v>
      </c>
      <c r="F1173" s="2">
        <v>3.4708463000000002E-2</v>
      </c>
    </row>
    <row r="1174" spans="1:6" x14ac:dyDescent="0.25">
      <c r="A1174" t="s">
        <v>6</v>
      </c>
      <c r="B1174" s="5" t="str">
        <f>HYPERLINK("http://www.broadinstitute.org/gsea/msigdb/cards/GOBP_REGULATION_OF_ENDOTHELIAL_CELL_DEVELOPMENT.html","GOBP_REGULATION_OF_ENDOTHELIAL_CELL_DEVELOPMENT")</f>
        <v>GOBP_REGULATION_OF_ENDOTHELIAL_CELL_DEVELOPMENT</v>
      </c>
      <c r="C1174" s="4">
        <v>19</v>
      </c>
      <c r="D1174" s="3">
        <v>1.6114622000000001</v>
      </c>
      <c r="E1174" s="1">
        <v>2.5179856E-2</v>
      </c>
      <c r="F1174" s="2">
        <v>3.4813865999999999E-2</v>
      </c>
    </row>
    <row r="1175" spans="1:6" x14ac:dyDescent="0.25">
      <c r="A1175" t="s">
        <v>6</v>
      </c>
      <c r="B1175" s="5" t="str">
        <f>HYPERLINK("http://www.broadinstitute.org/gsea/msigdb/cards/GOBP_TOLL_LIKE_RECEPTOR_4_SIGNALING_PATHWAY.html","GOBP_TOLL_LIKE_RECEPTOR_4_SIGNALING_PATHWAY")</f>
        <v>GOBP_TOLL_LIKE_RECEPTOR_4_SIGNALING_PATHWAY</v>
      </c>
      <c r="C1175" s="4">
        <v>57</v>
      </c>
      <c r="D1175" s="3">
        <v>1.6113770999999999</v>
      </c>
      <c r="E1175" s="1">
        <v>1.6103059999999999E-3</v>
      </c>
      <c r="F1175" s="2">
        <v>3.4810986000000002E-2</v>
      </c>
    </row>
    <row r="1176" spans="1:6" x14ac:dyDescent="0.25">
      <c r="A1176" t="s">
        <v>11</v>
      </c>
      <c r="B1176" s="5" t="str">
        <f>HYPERLINK("http://www.broadinstitute.org/gsea/msigdb/cards/WP_COMPREHENSIVE_IL_17A_SIGNALING.html","WP_COMPREHENSIVE_IL_17A_SIGNALING")</f>
        <v>WP_COMPREHENSIVE_IL_17A_SIGNALING</v>
      </c>
      <c r="C1176" s="4">
        <v>99</v>
      </c>
      <c r="D1176" s="3">
        <v>1.6113755000000001</v>
      </c>
      <c r="E1176" s="1">
        <v>2.9629629999999999E-3</v>
      </c>
      <c r="F1176" s="2">
        <v>3.4782235000000002E-2</v>
      </c>
    </row>
    <row r="1177" spans="1:6" x14ac:dyDescent="0.25">
      <c r="A1177" t="s">
        <v>6</v>
      </c>
      <c r="B1177" s="5" t="str">
        <f>HYPERLINK("http://www.broadinstitute.org/gsea/msigdb/cards/GOBP_RESPONSE_TO_REACTIVE_OXYGEN_SPECIES.html","GOBP_RESPONSE_TO_REACTIVE_OXYGEN_SPECIES")</f>
        <v>GOBP_RESPONSE_TO_REACTIVE_OXYGEN_SPECIES</v>
      </c>
      <c r="C1177" s="4">
        <v>191</v>
      </c>
      <c r="D1177" s="3">
        <v>1.6110289</v>
      </c>
      <c r="E1177" s="1">
        <v>0</v>
      </c>
      <c r="F1177" s="2">
        <v>3.4851304999999999E-2</v>
      </c>
    </row>
    <row r="1178" spans="1:6" x14ac:dyDescent="0.25">
      <c r="A1178" t="s">
        <v>8</v>
      </c>
      <c r="B1178" s="5" t="str">
        <f>HYPERLINK("http://www.broadinstitute.org/gsea/msigdb/cards/GOMF_SIGNALING_RECEPTOR_REGULATOR_ACTIVITY.html","GOMF_SIGNALING_RECEPTOR_REGULATOR_ACTIVITY")</f>
        <v>GOMF_SIGNALING_RECEPTOR_REGULATOR_ACTIVITY</v>
      </c>
      <c r="C1178" s="4">
        <v>482</v>
      </c>
      <c r="D1178" s="3">
        <v>1.6104513</v>
      </c>
      <c r="E1178" s="1">
        <v>0</v>
      </c>
      <c r="F1178" s="2">
        <v>3.5013626999999999E-2</v>
      </c>
    </row>
    <row r="1179" spans="1:6" x14ac:dyDescent="0.25">
      <c r="A1179" t="s">
        <v>10</v>
      </c>
      <c r="B1179" s="5" t="str">
        <f>HYPERLINK("http://www.broadinstitute.org/gsea/msigdb/cards/REACTOME_G_ALPHA_Q_SIGNALLING_EVENTS.html","REACTOME_G_ALPHA_Q_SIGNALLING_EVENTS")</f>
        <v>REACTOME_G_ALPHA_Q_SIGNALLING_EVENTS</v>
      </c>
      <c r="C1179" s="4">
        <v>196</v>
      </c>
      <c r="D1179" s="3">
        <v>1.6101388999999999</v>
      </c>
      <c r="E1179" s="1">
        <v>1.3736264000000001E-3</v>
      </c>
      <c r="F1179" s="2">
        <v>3.5097997999999998E-2</v>
      </c>
    </row>
    <row r="1180" spans="1:6" x14ac:dyDescent="0.25">
      <c r="A1180" t="s">
        <v>10</v>
      </c>
      <c r="B1180" s="5" t="str">
        <f>HYPERLINK("http://www.broadinstitute.org/gsea/msigdb/cards/REACTOME_ISG15_ANTIVIRAL_MECHANISM.html","REACTOME_ISG15_ANTIVIRAL_MECHANISM")</f>
        <v>REACTOME_ISG15_ANTIVIRAL_MECHANISM</v>
      </c>
      <c r="C1180" s="4">
        <v>28</v>
      </c>
      <c r="D1180" s="3">
        <v>1.6095358</v>
      </c>
      <c r="E1180" s="1">
        <v>1.7944535000000001E-2</v>
      </c>
      <c r="F1180" s="2">
        <v>3.5264082000000002E-2</v>
      </c>
    </row>
    <row r="1181" spans="1:6" x14ac:dyDescent="0.25">
      <c r="A1181" t="s">
        <v>8</v>
      </c>
      <c r="B1181" s="5" t="str">
        <f>HYPERLINK("http://www.broadinstitute.org/gsea/msigdb/cards/GOMF_GROWTH_FACTOR_BINDING.html","GOMF_GROWTH_FACTOR_BINDING")</f>
        <v>GOMF_GROWTH_FACTOR_BINDING</v>
      </c>
      <c r="C1181" s="4">
        <v>140</v>
      </c>
      <c r="D1181" s="3">
        <v>1.6093618999999999</v>
      </c>
      <c r="E1181" s="1">
        <v>0</v>
      </c>
      <c r="F1181" s="2">
        <v>3.5311412E-2</v>
      </c>
    </row>
    <row r="1182" spans="1:6" x14ac:dyDescent="0.25">
      <c r="A1182" t="s">
        <v>8</v>
      </c>
      <c r="B1182" s="5" t="str">
        <f>HYPERLINK("http://www.broadinstitute.org/gsea/msigdb/cards/GOMF_EPHRIN_RECEPTOR_BINDING.html","GOMF_EPHRIN_RECEPTOR_BINDING")</f>
        <v>GOMF_EPHRIN_RECEPTOR_BINDING</v>
      </c>
      <c r="C1182" s="4">
        <v>32</v>
      </c>
      <c r="D1182" s="3">
        <v>1.6092531999999999</v>
      </c>
      <c r="E1182" s="1">
        <v>1.3400334999999999E-2</v>
      </c>
      <c r="F1182" s="2">
        <v>3.5313605999999997E-2</v>
      </c>
    </row>
    <row r="1183" spans="1:6" x14ac:dyDescent="0.25">
      <c r="A1183" t="s">
        <v>7</v>
      </c>
      <c r="B1183" s="5" t="str">
        <f>HYPERLINK("http://www.broadinstitute.org/gsea/msigdb/cards/GOCC_VACUOLAR_MEMBRANE.html","GOCC_VACUOLAR_MEMBRANE")</f>
        <v>GOCC_VACUOLAR_MEMBRANE</v>
      </c>
      <c r="C1183" s="4">
        <v>272</v>
      </c>
      <c r="D1183" s="3">
        <v>1.6091964000000001</v>
      </c>
      <c r="E1183" s="1">
        <v>0</v>
      </c>
      <c r="F1183" s="2">
        <v>3.5303906000000003E-2</v>
      </c>
    </row>
    <row r="1184" spans="1:6" x14ac:dyDescent="0.25">
      <c r="A1184" t="s">
        <v>8</v>
      </c>
      <c r="B1184" s="5" t="str">
        <f>HYPERLINK("http://www.broadinstitute.org/gsea/msigdb/cards/GOMF_PHOSPHORUS_OXYGEN_LYASE_ACTIVITY.html","GOMF_PHOSPHORUS_OXYGEN_LYASE_ACTIVITY")</f>
        <v>GOMF_PHOSPHORUS_OXYGEN_LYASE_ACTIVITY</v>
      </c>
      <c r="C1184" s="4">
        <v>25</v>
      </c>
      <c r="D1184" s="3">
        <v>1.6088376</v>
      </c>
      <c r="E1184" s="1">
        <v>2.1702836999999999E-2</v>
      </c>
      <c r="F1184" s="2">
        <v>3.5392306999999998E-2</v>
      </c>
    </row>
    <row r="1185" spans="1:6" x14ac:dyDescent="0.25">
      <c r="A1185" t="s">
        <v>6</v>
      </c>
      <c r="B1185" s="5" t="str">
        <f>HYPERLINK("http://www.broadinstitute.org/gsea/msigdb/cards/GOBP_PROTEIN_LOCALIZATION_TO_VACUOLE.html","GOBP_PROTEIN_LOCALIZATION_TO_VACUOLE")</f>
        <v>GOBP_PROTEIN_LOCALIZATION_TO_VACUOLE</v>
      </c>
      <c r="C1185" s="4">
        <v>79</v>
      </c>
      <c r="D1185" s="3">
        <v>1.6086062999999999</v>
      </c>
      <c r="E1185" s="1">
        <v>3.1496063000000002E-3</v>
      </c>
      <c r="F1185" s="2">
        <v>3.5433850000000003E-2</v>
      </c>
    </row>
    <row r="1186" spans="1:6" x14ac:dyDescent="0.25">
      <c r="A1186" t="s">
        <v>6</v>
      </c>
      <c r="B1186" s="5" t="str">
        <f>HYPERLINK("http://www.broadinstitute.org/gsea/msigdb/cards/GOBP_POSITIVE_REGULATION_OF_STRESS_ACTIVATED_PROTEIN_KINASE_SIGNALING_CASCADE.html","GOBP_POSITIVE_REGULATION_OF_STRESS_ACTIVATED_PROTEIN_KINASE_SIGNALING_CASCADE")</f>
        <v>GOBP_POSITIVE_REGULATION_OF_STRESS_ACTIVATED_PROTEIN_KINASE_SIGNALING_CASCADE</v>
      </c>
      <c r="C1186" s="4">
        <v>131</v>
      </c>
      <c r="D1186" s="3">
        <v>1.6085693999999999</v>
      </c>
      <c r="E1186" s="1">
        <v>1.4662757E-3</v>
      </c>
      <c r="F1186" s="2">
        <v>3.5413939999999998E-2</v>
      </c>
    </row>
    <row r="1187" spans="1:6" x14ac:dyDescent="0.25">
      <c r="A1187" t="s">
        <v>6</v>
      </c>
      <c r="B1187" s="5" t="str">
        <f>HYPERLINK("http://www.broadinstitute.org/gsea/msigdb/cards/GOBP_PURINE_CONTAINING_COMPOUND_SALVAGE.html","GOBP_PURINE_CONTAINING_COMPOUND_SALVAGE")</f>
        <v>GOBP_PURINE_CONTAINING_COMPOUND_SALVAGE</v>
      </c>
      <c r="C1187" s="4">
        <v>22</v>
      </c>
      <c r="D1187" s="3">
        <v>1.6083312000000001</v>
      </c>
      <c r="E1187" s="1">
        <v>1.4084507E-2</v>
      </c>
      <c r="F1187" s="2">
        <v>3.5467289999999999E-2</v>
      </c>
    </row>
    <row r="1188" spans="1:6" x14ac:dyDescent="0.25">
      <c r="A1188" t="s">
        <v>6</v>
      </c>
      <c r="B1188" s="5" t="str">
        <f>HYPERLINK("http://www.broadinstitute.org/gsea/msigdb/cards/GOBP_POSITIVE_REGULATION_OF_LYMPHOCYTE_APOPTOTIC_PROCESS.html","GOBP_POSITIVE_REGULATION_OF_LYMPHOCYTE_APOPTOTIC_PROCESS")</f>
        <v>GOBP_POSITIVE_REGULATION_OF_LYMPHOCYTE_APOPTOTIC_PROCESS</v>
      </c>
      <c r="C1188" s="4">
        <v>21</v>
      </c>
      <c r="D1188" s="3">
        <v>1.6081372</v>
      </c>
      <c r="E1188" s="1">
        <v>1.4059754000000001E-2</v>
      </c>
      <c r="F1188" s="2">
        <v>3.5506863E-2</v>
      </c>
    </row>
    <row r="1189" spans="1:6" x14ac:dyDescent="0.25">
      <c r="A1189" t="s">
        <v>6</v>
      </c>
      <c r="B1189" s="5" t="str">
        <f>HYPERLINK("http://www.broadinstitute.org/gsea/msigdb/cards/GOBP_REGULATION_OF_APOPTOTIC_SIGNALING_PATHWAY.html","GOBP_REGULATION_OF_APOPTOTIC_SIGNALING_PATHWAY")</f>
        <v>GOBP_REGULATION_OF_APOPTOTIC_SIGNALING_PATHWAY</v>
      </c>
      <c r="C1189" s="4">
        <v>421</v>
      </c>
      <c r="D1189" s="3">
        <v>1.6079588</v>
      </c>
      <c r="E1189" s="1">
        <v>0</v>
      </c>
      <c r="F1189" s="2">
        <v>3.552338E-2</v>
      </c>
    </row>
    <row r="1190" spans="1:6" x14ac:dyDescent="0.25">
      <c r="A1190" t="s">
        <v>6</v>
      </c>
      <c r="B1190" s="5" t="str">
        <f>HYPERLINK("http://www.broadinstitute.org/gsea/msigdb/cards/GOBP_FOAM_CELL_DIFFERENTIATION.html","GOBP_FOAM_CELL_DIFFERENTIATION")</f>
        <v>GOBP_FOAM_CELL_DIFFERENTIATION</v>
      </c>
      <c r="C1190" s="4">
        <v>32</v>
      </c>
      <c r="D1190" s="3">
        <v>1.6071556</v>
      </c>
      <c r="E1190" s="1">
        <v>1.8739352000000001E-2</v>
      </c>
      <c r="F1190" s="2">
        <v>3.5746206000000003E-2</v>
      </c>
    </row>
    <row r="1191" spans="1:6" x14ac:dyDescent="0.25">
      <c r="A1191" t="s">
        <v>6</v>
      </c>
      <c r="B1191" s="5" t="str">
        <f>HYPERLINK("http://www.broadinstitute.org/gsea/msigdb/cards/GOBP_COLLAGEN_ACTIVATED_SIGNALING_PATHWAY.html","GOBP_COLLAGEN_ACTIVATED_SIGNALING_PATHWAY")</f>
        <v>GOBP_COLLAGEN_ACTIVATED_SIGNALING_PATHWAY</v>
      </c>
      <c r="C1191" s="4">
        <v>17</v>
      </c>
      <c r="D1191" s="3">
        <v>1.6065607</v>
      </c>
      <c r="E1191" s="1">
        <v>1.7421603000000001E-2</v>
      </c>
      <c r="F1191" s="2">
        <v>3.5892189999999997E-2</v>
      </c>
    </row>
    <row r="1192" spans="1:6" x14ac:dyDescent="0.25">
      <c r="A1192" t="s">
        <v>6</v>
      </c>
      <c r="B1192" s="5" t="str">
        <f>HYPERLINK("http://www.broadinstitute.org/gsea/msigdb/cards/GOBP_ACTIN_FILAMENT_ORGANIZATION.html","GOBP_ACTIN_FILAMENT_ORGANIZATION")</f>
        <v>GOBP_ACTIN_FILAMENT_ORGANIZATION</v>
      </c>
      <c r="C1192" s="4">
        <v>456</v>
      </c>
      <c r="D1192" s="3">
        <v>1.6051321000000001</v>
      </c>
      <c r="E1192" s="1">
        <v>0</v>
      </c>
      <c r="F1192" s="2">
        <v>3.6376760000000001E-2</v>
      </c>
    </row>
    <row r="1193" spans="1:6" x14ac:dyDescent="0.25">
      <c r="A1193" t="s">
        <v>6</v>
      </c>
      <c r="B1193" s="5" t="str">
        <f>HYPERLINK("http://www.broadinstitute.org/gsea/msigdb/cards/GOBP_VESICLE_COATING.html","GOBP_VESICLE_COATING")</f>
        <v>GOBP_VESICLE_COATING</v>
      </c>
      <c r="C1193" s="4">
        <v>33</v>
      </c>
      <c r="D1193" s="3">
        <v>1.6050359999999999</v>
      </c>
      <c r="E1193" s="1">
        <v>1.7211704000000001E-2</v>
      </c>
      <c r="F1193" s="2">
        <v>3.6378063000000002E-2</v>
      </c>
    </row>
    <row r="1194" spans="1:6" x14ac:dyDescent="0.25">
      <c r="A1194" t="s">
        <v>6</v>
      </c>
      <c r="B1194" s="5" t="str">
        <f>HYPERLINK("http://www.broadinstitute.org/gsea/msigdb/cards/GOBP_NEGATIVE_REGULATION_OF_CANONICAL_NF_KAPPAB_SIGNAL_TRANSDUCTION.html","GOBP_NEGATIVE_REGULATION_OF_CANONICAL_NF_KAPPAB_SIGNAL_TRANSDUCTION")</f>
        <v>GOBP_NEGATIVE_REGULATION_OF_CANONICAL_NF_KAPPAB_SIGNAL_TRANSDUCTION</v>
      </c>
      <c r="C1194" s="4">
        <v>52</v>
      </c>
      <c r="D1194" s="3">
        <v>1.6045525</v>
      </c>
      <c r="E1194" s="1">
        <v>6.3091483999999998E-3</v>
      </c>
      <c r="F1194" s="2">
        <v>3.6499299999999998E-2</v>
      </c>
    </row>
    <row r="1195" spans="1:6" x14ac:dyDescent="0.25">
      <c r="A1195" t="s">
        <v>6</v>
      </c>
      <c r="B1195" s="5" t="str">
        <f>HYPERLINK("http://www.broadinstitute.org/gsea/msigdb/cards/GOBP_MUSCLE_CELL_MIGRATION.html","GOBP_MUSCLE_CELL_MIGRATION")</f>
        <v>GOBP_MUSCLE_CELL_MIGRATION</v>
      </c>
      <c r="C1195" s="4">
        <v>129</v>
      </c>
      <c r="D1195" s="3">
        <v>1.6045218000000001</v>
      </c>
      <c r="E1195" s="1">
        <v>1.4285713999999999E-3</v>
      </c>
      <c r="F1195" s="2">
        <v>3.6475952999999998E-2</v>
      </c>
    </row>
    <row r="1196" spans="1:6" x14ac:dyDescent="0.25">
      <c r="A1196" t="s">
        <v>6</v>
      </c>
      <c r="B1196" s="5" t="str">
        <f>HYPERLINK("http://www.broadinstitute.org/gsea/msigdb/cards/GOBP_NEGATIVE_REGULATION_OF_RESPONSE_TO_WOUNDING.html","GOBP_NEGATIVE_REGULATION_OF_RESPONSE_TO_WOUNDING")</f>
        <v>GOBP_NEGATIVE_REGULATION_OF_RESPONSE_TO_WOUNDING</v>
      </c>
      <c r="C1196" s="4">
        <v>90</v>
      </c>
      <c r="D1196" s="3">
        <v>1.6043297000000001</v>
      </c>
      <c r="E1196" s="1">
        <v>1.5408321E-3</v>
      </c>
      <c r="F1196" s="2">
        <v>3.6499860000000002E-2</v>
      </c>
    </row>
    <row r="1197" spans="1:6" x14ac:dyDescent="0.25">
      <c r="A1197" t="s">
        <v>10</v>
      </c>
      <c r="B1197" s="5" t="str">
        <f>HYPERLINK("http://www.broadinstitute.org/gsea/msigdb/cards/REACTOME_VEGFR2_MEDIATED_VASCULAR_PERMEABILITY.html","REACTOME_VEGFR2_MEDIATED_VASCULAR_PERMEABILITY")</f>
        <v>REACTOME_VEGFR2_MEDIATED_VASCULAR_PERMEABILITY</v>
      </c>
      <c r="C1197" s="4">
        <v>29</v>
      </c>
      <c r="D1197" s="3">
        <v>1.6039852999999999</v>
      </c>
      <c r="E1197" s="1">
        <v>1.1551155E-2</v>
      </c>
      <c r="F1197" s="2">
        <v>3.658906E-2</v>
      </c>
    </row>
    <row r="1198" spans="1:6" x14ac:dyDescent="0.25">
      <c r="A1198" t="s">
        <v>7</v>
      </c>
      <c r="B1198" s="5" t="str">
        <f>HYPERLINK("http://www.broadinstitute.org/gsea/msigdb/cards/GOCC_MEMBRANE_COAT.html","GOCC_MEMBRANE_COAT")</f>
        <v>GOCC_MEMBRANE_COAT</v>
      </c>
      <c r="C1198" s="4">
        <v>98</v>
      </c>
      <c r="D1198" s="3">
        <v>1.6036557</v>
      </c>
      <c r="E1198" s="1">
        <v>1.5082957E-3</v>
      </c>
      <c r="F1198" s="2">
        <v>3.6676361999999997E-2</v>
      </c>
    </row>
    <row r="1199" spans="1:6" x14ac:dyDescent="0.25">
      <c r="A1199" t="s">
        <v>6</v>
      </c>
      <c r="B1199" s="5" t="str">
        <f>HYPERLINK("http://www.broadinstitute.org/gsea/msigdb/cards/GOBP_REGULATION_OF_CELL_SHAPE.html","GOBP_REGULATION_OF_CELL_SHAPE")</f>
        <v>GOBP_REGULATION_OF_CELL_SHAPE</v>
      </c>
      <c r="C1199" s="4">
        <v>140</v>
      </c>
      <c r="D1199" s="3">
        <v>1.6036298</v>
      </c>
      <c r="E1199" s="1">
        <v>2.9673590000000001E-3</v>
      </c>
      <c r="F1199" s="2">
        <v>3.6655609999999998E-2</v>
      </c>
    </row>
    <row r="1200" spans="1:6" x14ac:dyDescent="0.25">
      <c r="A1200" t="s">
        <v>8</v>
      </c>
      <c r="B1200" s="5" t="str">
        <f>HYPERLINK("http://www.broadinstitute.org/gsea/msigdb/cards/GOMF_FAD_BINDING.html","GOMF_FAD_BINDING")</f>
        <v>GOMF_FAD_BINDING</v>
      </c>
      <c r="C1200" s="4">
        <v>43</v>
      </c>
      <c r="D1200" s="3">
        <v>1.6029305</v>
      </c>
      <c r="E1200" s="1">
        <v>6.6115703000000003E-3</v>
      </c>
      <c r="F1200" s="2">
        <v>3.6847692000000001E-2</v>
      </c>
    </row>
    <row r="1201" spans="1:6" x14ac:dyDescent="0.25">
      <c r="A1201" t="s">
        <v>5</v>
      </c>
      <c r="B1201" s="5" t="str">
        <f>HYPERLINK("http://www.broadinstitute.org/gsea/msigdb/cards/BIOCARTA_DEATH_PATHWAY.html","BIOCARTA_DEATH_PATHWAY")</f>
        <v>BIOCARTA_DEATH_PATHWAY</v>
      </c>
      <c r="C1201" s="4">
        <v>30</v>
      </c>
      <c r="D1201" s="3">
        <v>1.6027066999999999</v>
      </c>
      <c r="E1201" s="1">
        <v>1.7094017999999999E-2</v>
      </c>
      <c r="F1201" s="2">
        <v>3.6891792E-2</v>
      </c>
    </row>
    <row r="1202" spans="1:6" x14ac:dyDescent="0.25">
      <c r="A1202" t="s">
        <v>11</v>
      </c>
      <c r="B1202" s="5" t="str">
        <f>HYPERLINK("http://www.broadinstitute.org/gsea/msigdb/cards/WP_GPCRS_OTHER.html","WP_GPCRS_OTHER")</f>
        <v>WP_GPCRS_OTHER</v>
      </c>
      <c r="C1202" s="4">
        <v>81</v>
      </c>
      <c r="D1202" s="3">
        <v>1.6025832</v>
      </c>
      <c r="E1202" s="1">
        <v>1.6260161999999999E-3</v>
      </c>
      <c r="F1202" s="2">
        <v>3.6900803000000003E-2</v>
      </c>
    </row>
    <row r="1203" spans="1:6" x14ac:dyDescent="0.25">
      <c r="A1203" t="s">
        <v>6</v>
      </c>
      <c r="B1203" s="5" t="str">
        <f>HYPERLINK("http://www.broadinstitute.org/gsea/msigdb/cards/GOBP_FATTY_ACID_TRANSPORT.html","GOBP_FATTY_ACID_TRANSPORT")</f>
        <v>GOBP_FATTY_ACID_TRANSPORT</v>
      </c>
      <c r="C1203" s="4">
        <v>113</v>
      </c>
      <c r="D1203" s="3">
        <v>1.6019614</v>
      </c>
      <c r="E1203" s="1">
        <v>0</v>
      </c>
      <c r="F1203" s="2">
        <v>3.7071343999999999E-2</v>
      </c>
    </row>
    <row r="1204" spans="1:6" x14ac:dyDescent="0.25">
      <c r="A1204" t="s">
        <v>11</v>
      </c>
      <c r="B1204" s="5" t="str">
        <f>HYPERLINK("http://www.broadinstitute.org/gsea/msigdb/cards/WP_MAPK_SIGNALING_PATHWAY.html","WP_MAPK_SIGNALING_PATHWAY")</f>
        <v>WP_MAPK_SIGNALING_PATHWAY</v>
      </c>
      <c r="C1204" s="4">
        <v>159</v>
      </c>
      <c r="D1204" s="3">
        <v>1.6018155000000001</v>
      </c>
      <c r="E1204" s="1">
        <v>0</v>
      </c>
      <c r="F1204" s="2">
        <v>3.7090946E-2</v>
      </c>
    </row>
    <row r="1205" spans="1:6" x14ac:dyDescent="0.25">
      <c r="A1205" t="s">
        <v>6</v>
      </c>
      <c r="B1205" s="5" t="str">
        <f>HYPERLINK("http://www.broadinstitute.org/gsea/msigdb/cards/GOBP_INTRINSIC_APOPTOTIC_SIGNALING_PATHWAY_IN_RESPONSE_TO_ENDOPLASMIC_RETICULUM_STRESS.html","GOBP_INTRINSIC_APOPTOTIC_SIGNALING_PATHWAY_IN_RESPONSE_TO_ENDOPLASMIC_RETICULUM_STRESS")</f>
        <v>GOBP_INTRINSIC_APOPTOTIC_SIGNALING_PATHWAY_IN_RESPONSE_TO_ENDOPLASMIC_RETICULUM_STRESS</v>
      </c>
      <c r="C1205" s="4">
        <v>65</v>
      </c>
      <c r="D1205" s="3">
        <v>1.6017469</v>
      </c>
      <c r="E1205" s="1">
        <v>1.5723270000000001E-3</v>
      </c>
      <c r="F1205" s="2">
        <v>3.7079945000000003E-2</v>
      </c>
    </row>
    <row r="1206" spans="1:6" x14ac:dyDescent="0.25">
      <c r="A1206" t="s">
        <v>5</v>
      </c>
      <c r="B1206" s="5" t="str">
        <f>HYPERLINK("http://www.broadinstitute.org/gsea/msigdb/cards/BIOCARTA_TH1TH2_PATHWAY.html","BIOCARTA_TH1TH2_PATHWAY")</f>
        <v>BIOCARTA_TH1TH2_PATHWAY</v>
      </c>
      <c r="C1206" s="4">
        <v>18</v>
      </c>
      <c r="D1206" s="3">
        <v>1.6015539000000001</v>
      </c>
      <c r="E1206" s="1">
        <v>2.5089607E-2</v>
      </c>
      <c r="F1206" s="2">
        <v>3.7113104000000001E-2</v>
      </c>
    </row>
    <row r="1207" spans="1:6" x14ac:dyDescent="0.25">
      <c r="A1207" t="s">
        <v>6</v>
      </c>
      <c r="B1207" s="5" t="str">
        <f>HYPERLINK("http://www.broadinstitute.org/gsea/msigdb/cards/GOBP_REGULATION_OF_VIRAL_TRANSCRIPTION.html","GOBP_REGULATION_OF_VIRAL_TRANSCRIPTION")</f>
        <v>GOBP_REGULATION_OF_VIRAL_TRANSCRIPTION</v>
      </c>
      <c r="C1207" s="4">
        <v>23</v>
      </c>
      <c r="D1207" s="3">
        <v>1.6013074</v>
      </c>
      <c r="E1207" s="1">
        <v>1.3445377999999999E-2</v>
      </c>
      <c r="F1207" s="2">
        <v>3.7165799999999999E-2</v>
      </c>
    </row>
    <row r="1208" spans="1:6" x14ac:dyDescent="0.25">
      <c r="A1208" t="s">
        <v>6</v>
      </c>
      <c r="B1208" s="5" t="str">
        <f>HYPERLINK("http://www.broadinstitute.org/gsea/msigdb/cards/GOBP_MONOCARBOXYLIC_ACID_TRANSPORT.html","GOBP_MONOCARBOXYLIC_ACID_TRANSPORT")</f>
        <v>GOBP_MONOCARBOXYLIC_ACID_TRANSPORT</v>
      </c>
      <c r="C1208" s="4">
        <v>174</v>
      </c>
      <c r="D1208" s="3">
        <v>1.601102</v>
      </c>
      <c r="E1208" s="1">
        <v>1.4285713999999999E-3</v>
      </c>
      <c r="F1208" s="2">
        <v>3.7201541999999997E-2</v>
      </c>
    </row>
    <row r="1209" spans="1:6" x14ac:dyDescent="0.25">
      <c r="A1209" t="s">
        <v>6</v>
      </c>
      <c r="B1209" s="5" t="str">
        <f>HYPERLINK("http://www.broadinstitute.org/gsea/msigdb/cards/GOBP_INTRACELLULAR_RECEPTOR_SIGNALING_PATHWAY.html","GOBP_INTRACELLULAR_RECEPTOR_SIGNALING_PATHWAY")</f>
        <v>GOBP_INTRACELLULAR_RECEPTOR_SIGNALING_PATHWAY</v>
      </c>
      <c r="C1209" s="4">
        <v>317</v>
      </c>
      <c r="D1209" s="3">
        <v>1.6003531</v>
      </c>
      <c r="E1209" s="1">
        <v>0</v>
      </c>
      <c r="F1209" s="2">
        <v>3.7413272999999997E-2</v>
      </c>
    </row>
    <row r="1210" spans="1:6" x14ac:dyDescent="0.25">
      <c r="A1210" t="s">
        <v>8</v>
      </c>
      <c r="B1210" s="5" t="str">
        <f>HYPERLINK("http://www.broadinstitute.org/gsea/msigdb/cards/GOMF_LIPID_TRANSPORTER_ACTIVITY.html","GOMF_LIPID_TRANSPORTER_ACTIVITY")</f>
        <v>GOMF_LIPID_TRANSPORTER_ACTIVITY</v>
      </c>
      <c r="C1210" s="4">
        <v>176</v>
      </c>
      <c r="D1210" s="3">
        <v>1.5999938</v>
      </c>
      <c r="E1210" s="1">
        <v>0</v>
      </c>
      <c r="F1210" s="2">
        <v>3.7506079999999997E-2</v>
      </c>
    </row>
    <row r="1211" spans="1:6" x14ac:dyDescent="0.25">
      <c r="A1211" t="s">
        <v>6</v>
      </c>
      <c r="B1211" s="5" t="str">
        <f>HYPERLINK("http://www.broadinstitute.org/gsea/msigdb/cards/GOBP_REGULATION_OF_CELL_MATRIX_ADHESION.html","GOBP_REGULATION_OF_CELL_MATRIX_ADHESION")</f>
        <v>GOBP_REGULATION_OF_CELL_MATRIX_ADHESION</v>
      </c>
      <c r="C1211" s="4">
        <v>125</v>
      </c>
      <c r="D1211" s="3">
        <v>1.5999596</v>
      </c>
      <c r="E1211" s="1">
        <v>2.9940119999999999E-3</v>
      </c>
      <c r="F1211" s="2">
        <v>3.7490389999999998E-2</v>
      </c>
    </row>
    <row r="1212" spans="1:6" x14ac:dyDescent="0.25">
      <c r="A1212" t="s">
        <v>6</v>
      </c>
      <c r="B1212" s="5" t="str">
        <f>HYPERLINK("http://www.broadinstitute.org/gsea/msigdb/cards/GOBP_REGULATION_OF_TRANSLATION_IN_RESPONSE_TO_STRESS.html","GOBP_REGULATION_OF_TRANSLATION_IN_RESPONSE_TO_STRESS")</f>
        <v>GOBP_REGULATION_OF_TRANSLATION_IN_RESPONSE_TO_STRESS</v>
      </c>
      <c r="C1212" s="4">
        <v>23</v>
      </c>
      <c r="D1212" s="3">
        <v>1.5990253999999999</v>
      </c>
      <c r="E1212" s="1">
        <v>2.4263432000000001E-2</v>
      </c>
      <c r="F1212" s="2">
        <v>3.7756730000000002E-2</v>
      </c>
    </row>
    <row r="1213" spans="1:6" x14ac:dyDescent="0.25">
      <c r="A1213" t="s">
        <v>5</v>
      </c>
      <c r="B1213" s="5" t="str">
        <f>HYPERLINK("http://www.broadinstitute.org/gsea/msigdb/cards/BIOCARTA_IL12_PATHWAY.html","BIOCARTA_IL12_PATHWAY")</f>
        <v>BIOCARTA_IL12_PATHWAY</v>
      </c>
      <c r="C1213" s="4">
        <v>19</v>
      </c>
      <c r="D1213" s="3">
        <v>1.5987813</v>
      </c>
      <c r="E1213" s="1">
        <v>1.3468012999999999E-2</v>
      </c>
      <c r="F1213" s="2">
        <v>3.7810682999999998E-2</v>
      </c>
    </row>
    <row r="1214" spans="1:6" x14ac:dyDescent="0.25">
      <c r="A1214" t="s">
        <v>6</v>
      </c>
      <c r="B1214" s="5" t="str">
        <f>HYPERLINK("http://www.broadinstitute.org/gsea/msigdb/cards/GOBP_POSITIVE_REGULATION_OF_ANTIGEN_RECEPTOR_MEDIATED_SIGNALING_PATHWAY.html","GOBP_POSITIVE_REGULATION_OF_ANTIGEN_RECEPTOR_MEDIATED_SIGNALING_PATHWAY")</f>
        <v>GOBP_POSITIVE_REGULATION_OF_ANTIGEN_RECEPTOR_MEDIATED_SIGNALING_PATHWAY</v>
      </c>
      <c r="C1214" s="4">
        <v>27</v>
      </c>
      <c r="D1214" s="3">
        <v>1.5986142999999999</v>
      </c>
      <c r="E1214" s="1">
        <v>1.9642857999999999E-2</v>
      </c>
      <c r="F1214" s="2">
        <v>3.7828658000000001E-2</v>
      </c>
    </row>
    <row r="1215" spans="1:6" x14ac:dyDescent="0.25">
      <c r="A1215" t="s">
        <v>10</v>
      </c>
      <c r="B1215" s="5" t="str">
        <f>HYPERLINK("http://www.broadinstitute.org/gsea/msigdb/cards/REACTOME_PRESYNAPTIC_FUNCTION_OF_KAINATE_RECEPTORS.html","REACTOME_PRESYNAPTIC_FUNCTION_OF_KAINATE_RECEPTORS")</f>
        <v>REACTOME_PRESYNAPTIC_FUNCTION_OF_KAINATE_RECEPTORS</v>
      </c>
      <c r="C1215" s="4">
        <v>20</v>
      </c>
      <c r="D1215" s="3">
        <v>1.5984434000000001</v>
      </c>
      <c r="E1215" s="1">
        <v>2.8169013999999999E-2</v>
      </c>
      <c r="F1215" s="2">
        <v>3.7863556E-2</v>
      </c>
    </row>
    <row r="1216" spans="1:6" x14ac:dyDescent="0.25">
      <c r="A1216" t="s">
        <v>6</v>
      </c>
      <c r="B1216" s="5" t="str">
        <f>HYPERLINK("http://www.broadinstitute.org/gsea/msigdb/cards/GOBP_PURINE_NUCLEOBASE_METABOLIC_PROCESS.html","GOBP_PURINE_NUCLEOBASE_METABOLIC_PROCESS")</f>
        <v>GOBP_PURINE_NUCLEOBASE_METABOLIC_PROCESS</v>
      </c>
      <c r="C1216" s="4">
        <v>22</v>
      </c>
      <c r="D1216" s="3">
        <v>1.5983733</v>
      </c>
      <c r="E1216" s="1">
        <v>1.7123288E-2</v>
      </c>
      <c r="F1216" s="2">
        <v>3.7857287000000003E-2</v>
      </c>
    </row>
    <row r="1217" spans="1:6" x14ac:dyDescent="0.25">
      <c r="A1217" t="s">
        <v>6</v>
      </c>
      <c r="B1217" s="5" t="str">
        <f>HYPERLINK("http://www.broadinstitute.org/gsea/msigdb/cards/GOBP_POSITIVE_REGULATION_OF_OXIDOREDUCTASE_ACTIVITY.html","GOBP_POSITIVE_REGULATION_OF_OXIDOREDUCTASE_ACTIVITY")</f>
        <v>GOBP_POSITIVE_REGULATION_OF_OXIDOREDUCTASE_ACTIVITY</v>
      </c>
      <c r="C1217" s="4">
        <v>54</v>
      </c>
      <c r="D1217" s="3">
        <v>1.5983194999999999</v>
      </c>
      <c r="E1217" s="1">
        <v>7.7881620000000004E-3</v>
      </c>
      <c r="F1217" s="2">
        <v>3.7847581999999998E-2</v>
      </c>
    </row>
    <row r="1218" spans="1:6" x14ac:dyDescent="0.25">
      <c r="A1218" t="s">
        <v>6</v>
      </c>
      <c r="B1218" s="5" t="str">
        <f>HYPERLINK("http://www.broadinstitute.org/gsea/msigdb/cards/GOBP_T_HELPER_1_CELL_DIFFERENTIATION.html","GOBP_T_HELPER_1_CELL_DIFFERENTIATION")</f>
        <v>GOBP_T_HELPER_1_CELL_DIFFERENTIATION</v>
      </c>
      <c r="C1218" s="4">
        <v>27</v>
      </c>
      <c r="D1218" s="3">
        <v>1.5982434999999999</v>
      </c>
      <c r="E1218" s="1">
        <v>2.1238937999999999E-2</v>
      </c>
      <c r="F1218" s="2">
        <v>3.784498E-2</v>
      </c>
    </row>
    <row r="1219" spans="1:6" x14ac:dyDescent="0.25">
      <c r="A1219" t="s">
        <v>6</v>
      </c>
      <c r="B1219" s="5" t="str">
        <f>HYPERLINK("http://www.broadinstitute.org/gsea/msigdb/cards/GOBP_T_CELL_APOPTOTIC_PROCESS.html","GOBP_T_CELL_APOPTOTIC_PROCESS")</f>
        <v>GOBP_T_CELL_APOPTOTIC_PROCESS</v>
      </c>
      <c r="C1219" s="4">
        <v>69</v>
      </c>
      <c r="D1219" s="3">
        <v>1.5980814999999999</v>
      </c>
      <c r="E1219" s="1">
        <v>0</v>
      </c>
      <c r="F1219" s="2">
        <v>3.7863742999999998E-2</v>
      </c>
    </row>
    <row r="1220" spans="1:6" x14ac:dyDescent="0.25">
      <c r="A1220" t="s">
        <v>6</v>
      </c>
      <c r="B1220" s="5" t="str">
        <f>HYPERLINK("http://www.broadinstitute.org/gsea/msigdb/cards/GOBP_NUCLEOTIDE_SALVAGE.html","GOBP_NUCLEOTIDE_SALVAGE")</f>
        <v>GOBP_NUCLEOTIDE_SALVAGE</v>
      </c>
      <c r="C1220" s="4">
        <v>24</v>
      </c>
      <c r="D1220" s="3">
        <v>1.5978177</v>
      </c>
      <c r="E1220" s="1">
        <v>1.2411348000000001E-2</v>
      </c>
      <c r="F1220" s="2">
        <v>3.7912715E-2</v>
      </c>
    </row>
    <row r="1221" spans="1:6" x14ac:dyDescent="0.25">
      <c r="A1221" t="s">
        <v>10</v>
      </c>
      <c r="B1221" s="5" t="str">
        <f>HYPERLINK("http://www.broadinstitute.org/gsea/msigdb/cards/REACTOME_SPHINGOLIPID_METABOLISM.html","REACTOME_SPHINGOLIPID_METABOLISM")</f>
        <v>REACTOME_SPHINGOLIPID_METABOLISM</v>
      </c>
      <c r="C1221" s="4">
        <v>77</v>
      </c>
      <c r="D1221" s="3">
        <v>1.5976132000000001</v>
      </c>
      <c r="E1221" s="1">
        <v>4.7095762999999997E-3</v>
      </c>
      <c r="F1221" s="2">
        <v>3.7968705999999998E-2</v>
      </c>
    </row>
    <row r="1222" spans="1:6" x14ac:dyDescent="0.25">
      <c r="A1222" t="s">
        <v>11</v>
      </c>
      <c r="B1222" s="5" t="str">
        <f>HYPERLINK("http://www.broadinstitute.org/gsea/msigdb/cards/WP_OXIDATIVE_DAMAGE_RESPONSE.html","WP_OXIDATIVE_DAMAGE_RESPONSE")</f>
        <v>WP_OXIDATIVE_DAMAGE_RESPONSE</v>
      </c>
      <c r="C1222" s="4">
        <v>41</v>
      </c>
      <c r="D1222" s="3">
        <v>1.5975655</v>
      </c>
      <c r="E1222" s="1">
        <v>1.3582343E-2</v>
      </c>
      <c r="F1222" s="2">
        <v>3.7956166999999999E-2</v>
      </c>
    </row>
    <row r="1223" spans="1:6" x14ac:dyDescent="0.25">
      <c r="A1223" t="s">
        <v>6</v>
      </c>
      <c r="B1223" s="5" t="str">
        <f>HYPERLINK("http://www.broadinstitute.org/gsea/msigdb/cards/GOBP_RESPONSE_TO_TRANSFORMING_GROWTH_FACTOR_BETA.html","GOBP_RESPONSE_TO_TRANSFORMING_GROWTH_FACTOR_BETA")</f>
        <v>GOBP_RESPONSE_TO_TRANSFORMING_GROWTH_FACTOR_BETA</v>
      </c>
      <c r="C1223" s="4">
        <v>249</v>
      </c>
      <c r="D1223" s="3">
        <v>1.5970826</v>
      </c>
      <c r="E1223" s="1">
        <v>0</v>
      </c>
      <c r="F1223" s="2">
        <v>3.8080174000000001E-2</v>
      </c>
    </row>
    <row r="1224" spans="1:6" x14ac:dyDescent="0.25">
      <c r="A1224" t="s">
        <v>6</v>
      </c>
      <c r="B1224" s="5" t="str">
        <f>HYPERLINK("http://www.broadinstitute.org/gsea/msigdb/cards/GOBP_NEGATIVE_REGULATION_OF_PEPTIDASE_ACTIVITY.html","GOBP_NEGATIVE_REGULATION_OF_PEPTIDASE_ACTIVITY")</f>
        <v>GOBP_NEGATIVE_REGULATION_OF_PEPTIDASE_ACTIVITY</v>
      </c>
      <c r="C1224" s="4">
        <v>228</v>
      </c>
      <c r="D1224" s="3">
        <v>1.5969899999999999</v>
      </c>
      <c r="E1224" s="1">
        <v>0</v>
      </c>
      <c r="F1224" s="2">
        <v>3.8077350000000003E-2</v>
      </c>
    </row>
    <row r="1225" spans="1:6" x14ac:dyDescent="0.25">
      <c r="A1225" t="s">
        <v>6</v>
      </c>
      <c r="B1225" s="5" t="str">
        <f>HYPERLINK("http://www.broadinstitute.org/gsea/msigdb/cards/GOBP_CELLULAR_RESPONSE_TO_GLUCOCORTICOID_STIMULUS.html","GOBP_CELLULAR_RESPONSE_TO_GLUCOCORTICOID_STIMULUS")</f>
        <v>GOBP_CELLULAR_RESPONSE_TO_GLUCOCORTICOID_STIMULUS</v>
      </c>
      <c r="C1225" s="4">
        <v>48</v>
      </c>
      <c r="D1225" s="3">
        <v>1.5969414</v>
      </c>
      <c r="E1225" s="1">
        <v>3.4782609999999999E-3</v>
      </c>
      <c r="F1225" s="2">
        <v>3.8070116000000001E-2</v>
      </c>
    </row>
    <row r="1226" spans="1:6" x14ac:dyDescent="0.25">
      <c r="A1226" t="s">
        <v>6</v>
      </c>
      <c r="B1226" s="5" t="str">
        <f>HYPERLINK("http://www.broadinstitute.org/gsea/msigdb/cards/GOBP_AUTOPHAGOSOME_ORGANIZATION.html","GOBP_AUTOPHAGOSOME_ORGANIZATION")</f>
        <v>GOBP_AUTOPHAGOSOME_ORGANIZATION</v>
      </c>
      <c r="C1226" s="4">
        <v>121</v>
      </c>
      <c r="D1226" s="3">
        <v>1.5963223</v>
      </c>
      <c r="E1226" s="1">
        <v>1.5037594E-3</v>
      </c>
      <c r="F1226" s="2">
        <v>3.8266293999999999E-2</v>
      </c>
    </row>
    <row r="1227" spans="1:6" x14ac:dyDescent="0.25">
      <c r="A1227" t="s">
        <v>6</v>
      </c>
      <c r="B1227" s="5" t="str">
        <f>HYPERLINK("http://www.broadinstitute.org/gsea/msigdb/cards/GOBP_PHOSPHOLIPASE_C_ACTIVATING_G_PROTEIN_COUPLED_RECEPTOR_SIGNALING_PATHWAY.html","GOBP_PHOSPHOLIPASE_C_ACTIVATING_G_PROTEIN_COUPLED_RECEPTOR_SIGNALING_PATHWAY")</f>
        <v>GOBP_PHOSPHOLIPASE_C_ACTIVATING_G_PROTEIN_COUPLED_RECEPTOR_SIGNALING_PATHWAY</v>
      </c>
      <c r="C1227" s="4">
        <v>102</v>
      </c>
      <c r="D1227" s="3">
        <v>1.5962387</v>
      </c>
      <c r="E1227" s="1">
        <v>4.5941806999999996E-3</v>
      </c>
      <c r="F1227" s="2">
        <v>3.8256287999999999E-2</v>
      </c>
    </row>
    <row r="1228" spans="1:6" x14ac:dyDescent="0.25">
      <c r="A1228" t="s">
        <v>6</v>
      </c>
      <c r="B1228" s="5" t="str">
        <f>HYPERLINK("http://www.broadinstitute.org/gsea/msigdb/cards/GOBP_URATE_METABOLIC_PROCESS.html","GOBP_URATE_METABOLIC_PROCESS")</f>
        <v>GOBP_URATE_METABOLIC_PROCESS</v>
      </c>
      <c r="C1228" s="4">
        <v>15</v>
      </c>
      <c r="D1228" s="3">
        <v>1.5959487000000001</v>
      </c>
      <c r="E1228" s="1">
        <v>2.4179619999999999E-2</v>
      </c>
      <c r="F1228" s="2">
        <v>3.8315978000000001E-2</v>
      </c>
    </row>
    <row r="1229" spans="1:6" x14ac:dyDescent="0.25">
      <c r="A1229" t="s">
        <v>7</v>
      </c>
      <c r="B1229" s="5" t="str">
        <f>HYPERLINK("http://www.broadinstitute.org/gsea/msigdb/cards/GOCC_CLATHRIN_COATED_VESICLE.html","GOCC_CLATHRIN_COATED_VESICLE")</f>
        <v>GOCC_CLATHRIN_COATED_VESICLE</v>
      </c>
      <c r="C1229" s="4">
        <v>119</v>
      </c>
      <c r="D1229" s="3">
        <v>1.5955029000000001</v>
      </c>
      <c r="E1229" s="1">
        <v>1.4556040999999999E-3</v>
      </c>
      <c r="F1229" s="2">
        <v>3.8438380000000001E-2</v>
      </c>
    </row>
    <row r="1230" spans="1:6" x14ac:dyDescent="0.25">
      <c r="A1230" t="s">
        <v>6</v>
      </c>
      <c r="B1230" s="5" t="str">
        <f>HYPERLINK("http://www.broadinstitute.org/gsea/msigdb/cards/GOBP_REGULATION_OF_CELLULAR_RESPONSE_TO_VASCULAR_ENDOTHELIAL_GROWTH_FACTOR_STIMULUS.html","GOBP_REGULATION_OF_CELLULAR_RESPONSE_TO_VASCULAR_ENDOTHELIAL_GROWTH_FACTOR_STIMULUS")</f>
        <v>GOBP_REGULATION_OF_CELLULAR_RESPONSE_TO_VASCULAR_ENDOTHELIAL_GROWTH_FACTOR_STIMULUS</v>
      </c>
      <c r="C1230" s="4">
        <v>25</v>
      </c>
      <c r="D1230" s="3">
        <v>1.5949134</v>
      </c>
      <c r="E1230" s="1">
        <v>1.6920472999999998E-2</v>
      </c>
      <c r="F1230" s="2">
        <v>3.8588959999999999E-2</v>
      </c>
    </row>
    <row r="1231" spans="1:6" x14ac:dyDescent="0.25">
      <c r="A1231" t="s">
        <v>6</v>
      </c>
      <c r="B1231" s="5" t="str">
        <f>HYPERLINK("http://www.broadinstitute.org/gsea/msigdb/cards/GOBP_NEGATIVE_REGULATION_OF_PHOSPHORYLATION.html","GOBP_NEGATIVE_REGULATION_OF_PHOSPHORYLATION")</f>
        <v>GOBP_NEGATIVE_REGULATION_OF_PHOSPHORYLATION</v>
      </c>
      <c r="C1231" s="4">
        <v>361</v>
      </c>
      <c r="D1231" s="3">
        <v>1.5948925</v>
      </c>
      <c r="E1231" s="1">
        <v>0</v>
      </c>
      <c r="F1231" s="2">
        <v>3.8567200000000003E-2</v>
      </c>
    </row>
    <row r="1232" spans="1:6" x14ac:dyDescent="0.25">
      <c r="A1232" t="s">
        <v>6</v>
      </c>
      <c r="B1232" s="5" t="str">
        <f>HYPERLINK("http://www.broadinstitute.org/gsea/msigdb/cards/GOBP_RESPONSE_TO_PLATELET_DERIVED_GROWTH_FACTOR.html","GOBP_RESPONSE_TO_PLATELET_DERIVED_GROWTH_FACTOR")</f>
        <v>GOBP_RESPONSE_TO_PLATELET_DERIVED_GROWTH_FACTOR</v>
      </c>
      <c r="C1232" s="4">
        <v>23</v>
      </c>
      <c r="D1232" s="3">
        <v>1.5946480000000001</v>
      </c>
      <c r="E1232" s="1">
        <v>2.1311475E-2</v>
      </c>
      <c r="F1232" s="2">
        <v>3.8629169999999997E-2</v>
      </c>
    </row>
    <row r="1233" spans="1:6" x14ac:dyDescent="0.25">
      <c r="A1233" t="s">
        <v>11</v>
      </c>
      <c r="B1233" s="5" t="str">
        <f>HYPERLINK("http://www.broadinstitute.org/gsea/msigdb/cards/WP_INSULIN_SIGNALING.html","WP_INSULIN_SIGNALING")</f>
        <v>WP_INSULIN_SIGNALING</v>
      </c>
      <c r="C1233" s="4">
        <v>158</v>
      </c>
      <c r="D1233" s="3">
        <v>1.5945517</v>
      </c>
      <c r="E1233" s="1">
        <v>0</v>
      </c>
      <c r="F1233" s="2">
        <v>3.8628599999999999E-2</v>
      </c>
    </row>
    <row r="1234" spans="1:6" x14ac:dyDescent="0.25">
      <c r="A1234" t="s">
        <v>6</v>
      </c>
      <c r="B1234" s="5" t="str">
        <f>HYPERLINK("http://www.broadinstitute.org/gsea/msigdb/cards/GOBP_POSITIVE_REGULATION_OF_FAT_CELL_DIFFERENTIATION.html","GOBP_POSITIVE_REGULATION_OF_FAT_CELL_DIFFERENTIATION")</f>
        <v>GOBP_POSITIVE_REGULATION_OF_FAT_CELL_DIFFERENTIATION</v>
      </c>
      <c r="C1234" s="4">
        <v>71</v>
      </c>
      <c r="D1234" s="3">
        <v>1.59429</v>
      </c>
      <c r="E1234" s="1">
        <v>1.5600624E-3</v>
      </c>
      <c r="F1234" s="2">
        <v>3.8691404999999998E-2</v>
      </c>
    </row>
    <row r="1235" spans="1:6" x14ac:dyDescent="0.25">
      <c r="A1235" t="s">
        <v>6</v>
      </c>
      <c r="B1235" s="5" t="str">
        <f>HYPERLINK("http://www.broadinstitute.org/gsea/msigdb/cards/GOBP_CELL_JUNCTION_DISASSEMBLY.html","GOBP_CELL_JUNCTION_DISASSEMBLY")</f>
        <v>GOBP_CELL_JUNCTION_DISASSEMBLY</v>
      </c>
      <c r="C1235" s="4">
        <v>26</v>
      </c>
      <c r="D1235" s="3">
        <v>1.5942566</v>
      </c>
      <c r="E1235" s="1">
        <v>1.8900343999999999E-2</v>
      </c>
      <c r="F1235" s="2">
        <v>3.8675856000000002E-2</v>
      </c>
    </row>
    <row r="1236" spans="1:6" x14ac:dyDescent="0.25">
      <c r="A1236" t="s">
        <v>11</v>
      </c>
      <c r="B1236" s="5" t="str">
        <f>HYPERLINK("http://www.broadinstitute.org/gsea/msigdb/cards/WP_IL_6_SIGNALING_PATHWAY.html","WP_IL_6_SIGNALING_PATHWAY")</f>
        <v>WP_IL_6_SIGNALING_PATHWAY</v>
      </c>
      <c r="C1236" s="4">
        <v>99</v>
      </c>
      <c r="D1236" s="3">
        <v>1.5942065999999999</v>
      </c>
      <c r="E1236" s="1">
        <v>0</v>
      </c>
      <c r="F1236" s="2">
        <v>3.8663815999999997E-2</v>
      </c>
    </row>
    <row r="1237" spans="1:6" x14ac:dyDescent="0.25">
      <c r="A1237" t="s">
        <v>6</v>
      </c>
      <c r="B1237" s="5" t="str">
        <f>HYPERLINK("http://www.broadinstitute.org/gsea/msigdb/cards/GOBP_AMYLOID_PRECURSOR_PROTEIN_CATABOLIC_PROCESS.html","GOBP_AMYLOID_PRECURSOR_PROTEIN_CATABOLIC_PROCESS")</f>
        <v>GOBP_AMYLOID_PRECURSOR_PROTEIN_CATABOLIC_PROCESS</v>
      </c>
      <c r="C1237" s="4">
        <v>60</v>
      </c>
      <c r="D1237" s="3">
        <v>1.5937014</v>
      </c>
      <c r="E1237" s="1">
        <v>6.2597809999999999E-3</v>
      </c>
      <c r="F1237" s="2">
        <v>3.880376E-2</v>
      </c>
    </row>
    <row r="1238" spans="1:6" x14ac:dyDescent="0.25">
      <c r="A1238" t="s">
        <v>10</v>
      </c>
      <c r="B1238" s="5" t="str">
        <f>HYPERLINK("http://www.broadinstitute.org/gsea/msigdb/cards/REACTOME_SIGNALLING_TO_ERKS.html","REACTOME_SIGNALLING_TO_ERKS")</f>
        <v>REACTOME_SIGNALLING_TO_ERKS</v>
      </c>
      <c r="C1238" s="4">
        <v>26</v>
      </c>
      <c r="D1238" s="3">
        <v>1.593442</v>
      </c>
      <c r="E1238" s="1">
        <v>1.5151516E-2</v>
      </c>
      <c r="F1238" s="2">
        <v>3.886879E-2</v>
      </c>
    </row>
    <row r="1239" spans="1:6" x14ac:dyDescent="0.25">
      <c r="A1239" t="s">
        <v>6</v>
      </c>
      <c r="B1239" s="5" t="str">
        <f>HYPERLINK("http://www.broadinstitute.org/gsea/msigdb/cards/GOBP_POSITIVE_REGULATION_OF_FIBROBLAST_MIGRATION.html","GOBP_POSITIVE_REGULATION_OF_FIBROBLAST_MIGRATION")</f>
        <v>GOBP_POSITIVE_REGULATION_OF_FIBROBLAST_MIGRATION</v>
      </c>
      <c r="C1239" s="4">
        <v>25</v>
      </c>
      <c r="D1239" s="3">
        <v>1.593213</v>
      </c>
      <c r="E1239" s="1">
        <v>2.8428094000000001E-2</v>
      </c>
      <c r="F1239" s="2">
        <v>3.8911809999999998E-2</v>
      </c>
    </row>
    <row r="1240" spans="1:6" x14ac:dyDescent="0.25">
      <c r="A1240" t="s">
        <v>6</v>
      </c>
      <c r="B1240" s="5" t="str">
        <f>HYPERLINK("http://www.broadinstitute.org/gsea/msigdb/cards/GOBP_POSITIVE_REGULATION_OF_T_CELL_RECEPTOR_SIGNALING_PATHWAY.html","GOBP_POSITIVE_REGULATION_OF_T_CELL_RECEPTOR_SIGNALING_PATHWAY")</f>
        <v>GOBP_POSITIVE_REGULATION_OF_T_CELL_RECEPTOR_SIGNALING_PATHWAY</v>
      </c>
      <c r="C1240" s="4">
        <v>19</v>
      </c>
      <c r="D1240" s="3">
        <v>1.5931903999999999</v>
      </c>
      <c r="E1240" s="1">
        <v>3.3216782E-2</v>
      </c>
      <c r="F1240" s="2">
        <v>3.8891719999999998E-2</v>
      </c>
    </row>
    <row r="1241" spans="1:6" x14ac:dyDescent="0.25">
      <c r="A1241" t="s">
        <v>8</v>
      </c>
      <c r="B1241" s="5" t="str">
        <f>HYPERLINK("http://www.broadinstitute.org/gsea/msigdb/cards/GOMF_RETINOIC_ACID_BINDING.html","GOMF_RETINOIC_ACID_BINDING")</f>
        <v>GOMF_RETINOIC_ACID_BINDING</v>
      </c>
      <c r="C1241" s="4">
        <v>16</v>
      </c>
      <c r="D1241" s="3">
        <v>1.5926241999999999</v>
      </c>
      <c r="E1241" s="1">
        <v>2.6690392E-2</v>
      </c>
      <c r="F1241" s="2">
        <v>3.9047413000000003E-2</v>
      </c>
    </row>
    <row r="1242" spans="1:6" x14ac:dyDescent="0.25">
      <c r="A1242" t="s">
        <v>8</v>
      </c>
      <c r="B1242" s="5" t="str">
        <f>HYPERLINK("http://www.broadinstitute.org/gsea/msigdb/cards/GOMF_DIPEPTIDASE_ACTIVITY.html","GOMF_DIPEPTIDASE_ACTIVITY")</f>
        <v>GOMF_DIPEPTIDASE_ACTIVITY</v>
      </c>
      <c r="C1242" s="4">
        <v>16</v>
      </c>
      <c r="D1242" s="3">
        <v>1.5925992</v>
      </c>
      <c r="E1242" s="1">
        <v>1.6544118999999999E-2</v>
      </c>
      <c r="F1242" s="2">
        <v>3.9021146E-2</v>
      </c>
    </row>
    <row r="1243" spans="1:6" x14ac:dyDescent="0.25">
      <c r="A1243" t="s">
        <v>6</v>
      </c>
      <c r="B1243" s="5" t="str">
        <f>HYPERLINK("http://www.broadinstitute.org/gsea/msigdb/cards/GOBP_MACROPHAGE_DIFFERENTIATION.html","GOBP_MACROPHAGE_DIFFERENTIATION")</f>
        <v>GOBP_MACROPHAGE_DIFFERENTIATION</v>
      </c>
      <c r="C1243" s="4">
        <v>58</v>
      </c>
      <c r="D1243" s="3">
        <v>1.5925962</v>
      </c>
      <c r="E1243" s="1">
        <v>1.3223140499999999E-2</v>
      </c>
      <c r="F1243" s="2">
        <v>3.8991425000000003E-2</v>
      </c>
    </row>
    <row r="1244" spans="1:6" x14ac:dyDescent="0.25">
      <c r="A1244" t="s">
        <v>6</v>
      </c>
      <c r="B1244" s="5" t="str">
        <f>HYPERLINK("http://www.broadinstitute.org/gsea/msigdb/cards/GOBP_NEGATIVE_REGULATION_OF_EPITHELIAL_CELL_MIGRATION.html","GOBP_NEGATIVE_REGULATION_OF_EPITHELIAL_CELL_MIGRATION")</f>
        <v>GOBP_NEGATIVE_REGULATION_OF_EPITHELIAL_CELL_MIGRATION</v>
      </c>
      <c r="C1244" s="4">
        <v>73</v>
      </c>
      <c r="D1244" s="3">
        <v>1.5921775</v>
      </c>
      <c r="E1244" s="1">
        <v>1.5649451999999999E-3</v>
      </c>
      <c r="F1244" s="2">
        <v>3.9101463000000003E-2</v>
      </c>
    </row>
    <row r="1245" spans="1:6" x14ac:dyDescent="0.25">
      <c r="A1245" t="s">
        <v>6</v>
      </c>
      <c r="B1245" s="5" t="str">
        <f>HYPERLINK("http://www.broadinstitute.org/gsea/msigdb/cards/GOBP_RESPONSE_TO_ACID_CHEMICAL.html","GOBP_RESPONSE_TO_ACID_CHEMICAL")</f>
        <v>GOBP_RESPONSE_TO_ACID_CHEMICAL</v>
      </c>
      <c r="C1245" s="4">
        <v>109</v>
      </c>
      <c r="D1245" s="3">
        <v>1.5920417</v>
      </c>
      <c r="E1245" s="1">
        <v>4.4444445999999999E-3</v>
      </c>
      <c r="F1245" s="2">
        <v>3.9107546E-2</v>
      </c>
    </row>
    <row r="1246" spans="1:6" x14ac:dyDescent="0.25">
      <c r="A1246" t="s">
        <v>6</v>
      </c>
      <c r="B1246" s="5" t="str">
        <f>HYPERLINK("http://www.broadinstitute.org/gsea/msigdb/cards/GOBP_PHOSPHOLIPID_CATABOLIC_PROCESS.html","GOBP_PHOSPHOLIPID_CATABOLIC_PROCESS")</f>
        <v>GOBP_PHOSPHOLIPID_CATABOLIC_PROCESS</v>
      </c>
      <c r="C1246" s="4">
        <v>55</v>
      </c>
      <c r="D1246" s="3">
        <v>1.591764</v>
      </c>
      <c r="E1246" s="1">
        <v>3.2206119999999999E-3</v>
      </c>
      <c r="F1246" s="2">
        <v>3.9178020000000001E-2</v>
      </c>
    </row>
    <row r="1247" spans="1:6" x14ac:dyDescent="0.25">
      <c r="A1247" t="s">
        <v>6</v>
      </c>
      <c r="B1247" s="5" t="str">
        <f>HYPERLINK("http://www.broadinstitute.org/gsea/msigdb/cards/GOBP_REGULATION_OF_P38MAPK_CASCADE.html","GOBP_REGULATION_OF_P38MAPK_CASCADE")</f>
        <v>GOBP_REGULATION_OF_P38MAPK_CASCADE</v>
      </c>
      <c r="C1247" s="4">
        <v>43</v>
      </c>
      <c r="D1247" s="3">
        <v>1.5912127</v>
      </c>
      <c r="E1247" s="1">
        <v>1.1551155E-2</v>
      </c>
      <c r="F1247" s="2">
        <v>3.9338815999999999E-2</v>
      </c>
    </row>
    <row r="1248" spans="1:6" x14ac:dyDescent="0.25">
      <c r="A1248" t="s">
        <v>6</v>
      </c>
      <c r="B1248" s="5" t="str">
        <f>HYPERLINK("http://www.broadinstitute.org/gsea/msigdb/cards/GOBP_REGULATION_OF_PH.html","GOBP_REGULATION_OF_PH")</f>
        <v>GOBP_REGULATION_OF_PH</v>
      </c>
      <c r="C1248" s="4">
        <v>106</v>
      </c>
      <c r="D1248" s="3">
        <v>1.5908987999999999</v>
      </c>
      <c r="E1248" s="1">
        <v>1.5128591999999999E-3</v>
      </c>
      <c r="F1248" s="2">
        <v>3.9409734000000002E-2</v>
      </c>
    </row>
    <row r="1249" spans="1:6" x14ac:dyDescent="0.25">
      <c r="A1249" t="s">
        <v>8</v>
      </c>
      <c r="B1249" s="5" t="str">
        <f>HYPERLINK("http://www.broadinstitute.org/gsea/msigdb/cards/GOMF_ZINC_ION_TRANSMEMBRANE_TRANSPORTER_ACTIVITY.html","GOMF_ZINC_ION_TRANSMEMBRANE_TRANSPORTER_ACTIVITY")</f>
        <v>GOMF_ZINC_ION_TRANSMEMBRANE_TRANSPORTER_ACTIVITY</v>
      </c>
      <c r="C1249" s="4">
        <v>23</v>
      </c>
      <c r="D1249" s="3">
        <v>1.5907051999999999</v>
      </c>
      <c r="E1249" s="1">
        <v>8.3892619999999998E-3</v>
      </c>
      <c r="F1249" s="2">
        <v>3.9443279999999997E-2</v>
      </c>
    </row>
    <row r="1250" spans="1:6" x14ac:dyDescent="0.25">
      <c r="A1250" t="s">
        <v>6</v>
      </c>
      <c r="B1250" s="5" t="str">
        <f>HYPERLINK("http://www.broadinstitute.org/gsea/msigdb/cards/GOBP_NEGATIVE_REGULATION_OF_LEUKOCYTE_CHEMOTAXIS.html","GOBP_NEGATIVE_REGULATION_OF_LEUKOCYTE_CHEMOTAXIS")</f>
        <v>GOBP_NEGATIVE_REGULATION_OF_LEUKOCYTE_CHEMOTAXIS</v>
      </c>
      <c r="C1250" s="4">
        <v>16</v>
      </c>
      <c r="D1250" s="3">
        <v>1.5904365</v>
      </c>
      <c r="E1250" s="1">
        <v>2.5951557E-2</v>
      </c>
      <c r="F1250" s="2">
        <v>3.9498552999999999E-2</v>
      </c>
    </row>
    <row r="1251" spans="1:6" x14ac:dyDescent="0.25">
      <c r="A1251" t="s">
        <v>6</v>
      </c>
      <c r="B1251" s="5" t="str">
        <f>HYPERLINK("http://www.broadinstitute.org/gsea/msigdb/cards/GOBP_MYELOID_CELL_APOPTOTIC_PROCESS.html","GOBP_MYELOID_CELL_APOPTOTIC_PROCESS")</f>
        <v>GOBP_MYELOID_CELL_APOPTOTIC_PROCESS</v>
      </c>
      <c r="C1251" s="4">
        <v>44</v>
      </c>
      <c r="D1251" s="3">
        <v>1.5904233000000001</v>
      </c>
      <c r="E1251" s="1">
        <v>8.0256825000000007E-3</v>
      </c>
      <c r="F1251" s="2">
        <v>3.9471270000000003E-2</v>
      </c>
    </row>
    <row r="1252" spans="1:6" x14ac:dyDescent="0.25">
      <c r="A1252" t="s">
        <v>6</v>
      </c>
      <c r="B1252" s="5" t="str">
        <f>HYPERLINK("http://www.broadinstitute.org/gsea/msigdb/cards/GOBP_PROTEIN_LOCALIZATION_TO_CELL_SURFACE.html","GOBP_PROTEIN_LOCALIZATION_TO_CELL_SURFACE")</f>
        <v>GOBP_PROTEIN_LOCALIZATION_TO_CELL_SURFACE</v>
      </c>
      <c r="C1252" s="4">
        <v>72</v>
      </c>
      <c r="D1252" s="3">
        <v>1.5903583999999999</v>
      </c>
      <c r="E1252" s="1">
        <v>4.8701296999999998E-3</v>
      </c>
      <c r="F1252" s="2">
        <v>3.9457813000000001E-2</v>
      </c>
    </row>
    <row r="1253" spans="1:6" x14ac:dyDescent="0.25">
      <c r="A1253" t="s">
        <v>6</v>
      </c>
      <c r="B1253" s="5" t="str">
        <f>HYPERLINK("http://www.broadinstitute.org/gsea/msigdb/cards/GOBP_NEGATIVE_REGULATION_OF_SECRETION.html","GOBP_NEGATIVE_REGULATION_OF_SECRETION")</f>
        <v>GOBP_NEGATIVE_REGULATION_OF_SECRETION</v>
      </c>
      <c r="C1253" s="4">
        <v>201</v>
      </c>
      <c r="D1253" s="3">
        <v>1.5903517</v>
      </c>
      <c r="E1253" s="1">
        <v>0</v>
      </c>
      <c r="F1253" s="2">
        <v>3.9428855999999998E-2</v>
      </c>
    </row>
    <row r="1254" spans="1:6" x14ac:dyDescent="0.25">
      <c r="A1254" t="s">
        <v>8</v>
      </c>
      <c r="B1254" s="5" t="str">
        <f>HYPERLINK("http://www.broadinstitute.org/gsea/msigdb/cards/GOMF_HEPARIN_BINDING.html","GOMF_HEPARIN_BINDING")</f>
        <v>GOMF_HEPARIN_BINDING</v>
      </c>
      <c r="C1254" s="4">
        <v>163</v>
      </c>
      <c r="D1254" s="3">
        <v>1.5903053</v>
      </c>
      <c r="E1254" s="1">
        <v>0</v>
      </c>
      <c r="F1254" s="2">
        <v>3.9412889999999999E-2</v>
      </c>
    </row>
    <row r="1255" spans="1:6" x14ac:dyDescent="0.25">
      <c r="A1255" t="s">
        <v>6</v>
      </c>
      <c r="B1255" s="5" t="str">
        <f>HYPERLINK("http://www.broadinstitute.org/gsea/msigdb/cards/GOBP_REGULATION_OF_EARLY_ENDOSOME_TO_LATE_ENDOSOME_TRANSPORT.html","GOBP_REGULATION_OF_EARLY_ENDOSOME_TO_LATE_ENDOSOME_TRANSPORT")</f>
        <v>GOBP_REGULATION_OF_EARLY_ENDOSOME_TO_LATE_ENDOSOME_TRANSPORT</v>
      </c>
      <c r="C1255" s="4">
        <v>19</v>
      </c>
      <c r="D1255" s="3">
        <v>1.5901997000000001</v>
      </c>
      <c r="E1255" s="1">
        <v>1.9704433E-2</v>
      </c>
      <c r="F1255" s="2">
        <v>3.9417736000000002E-2</v>
      </c>
    </row>
    <row r="1256" spans="1:6" x14ac:dyDescent="0.25">
      <c r="A1256" t="s">
        <v>6</v>
      </c>
      <c r="B1256" s="5" t="str">
        <f>HYPERLINK("http://www.broadinstitute.org/gsea/msigdb/cards/GOBP_POSITIVE_REGULATION_OF_PHOSPHOLIPASE_ACTIVITY.html","GOBP_POSITIVE_REGULATION_OF_PHOSPHOLIPASE_ACTIVITY")</f>
        <v>GOBP_POSITIVE_REGULATION_OF_PHOSPHOLIPASE_ACTIVITY</v>
      </c>
      <c r="C1256" s="4">
        <v>47</v>
      </c>
      <c r="D1256" s="3">
        <v>1.5898023999999999</v>
      </c>
      <c r="E1256" s="1">
        <v>9.9009900000000001E-3</v>
      </c>
      <c r="F1256" s="2">
        <v>3.9528880000000002E-2</v>
      </c>
    </row>
    <row r="1257" spans="1:6" x14ac:dyDescent="0.25">
      <c r="A1257" t="s">
        <v>6</v>
      </c>
      <c r="B1257" s="5" t="str">
        <f>HYPERLINK("http://www.broadinstitute.org/gsea/msigdb/cards/GOBP_RESPONSE_TO_PAIN.html","GOBP_RESPONSE_TO_PAIN")</f>
        <v>GOBP_RESPONSE_TO_PAIN</v>
      </c>
      <c r="C1257" s="4">
        <v>45</v>
      </c>
      <c r="D1257" s="3">
        <v>1.5890758</v>
      </c>
      <c r="E1257" s="1">
        <v>1.6366611999999999E-2</v>
      </c>
      <c r="F1257" s="2">
        <v>3.9747119999999997E-2</v>
      </c>
    </row>
    <row r="1258" spans="1:6" x14ac:dyDescent="0.25">
      <c r="A1258" t="s">
        <v>10</v>
      </c>
      <c r="B1258" s="5" t="str">
        <f>HYPERLINK("http://www.broadinstitute.org/gsea/msigdb/cards/REACTOME_DEATH_RECEPTOR_SIGNALING.html","REACTOME_DEATH_RECEPTOR_SIGNALING")</f>
        <v>REACTOME_DEATH_RECEPTOR_SIGNALING</v>
      </c>
      <c r="C1258" s="4">
        <v>139</v>
      </c>
      <c r="D1258" s="3">
        <v>1.5889352999999999</v>
      </c>
      <c r="E1258" s="1">
        <v>1.4409220999999999E-3</v>
      </c>
      <c r="F1258" s="2">
        <v>3.9762965999999997E-2</v>
      </c>
    </row>
    <row r="1259" spans="1:6" x14ac:dyDescent="0.25">
      <c r="A1259" t="s">
        <v>6</v>
      </c>
      <c r="B1259" s="5" t="str">
        <f>HYPERLINK("http://www.broadinstitute.org/gsea/msigdb/cards/GOBP_REGULATION_OF_NON_CANONICAL_NF_KAPPAB_SIGNAL_TRANSDUCTION.html","GOBP_REGULATION_OF_NON_CANONICAL_NF_KAPPAB_SIGNAL_TRANSDUCTION")</f>
        <v>GOBP_REGULATION_OF_NON_CANONICAL_NF_KAPPAB_SIGNAL_TRANSDUCTION</v>
      </c>
      <c r="C1259" s="4">
        <v>98</v>
      </c>
      <c r="D1259" s="3">
        <v>1.5888021000000001</v>
      </c>
      <c r="E1259" s="1">
        <v>3.0911900000000002E-3</v>
      </c>
      <c r="F1259" s="2">
        <v>3.9771747000000003E-2</v>
      </c>
    </row>
    <row r="1260" spans="1:6" x14ac:dyDescent="0.25">
      <c r="A1260" t="s">
        <v>5</v>
      </c>
      <c r="B1260" s="5" t="str">
        <f>HYPERLINK("http://www.broadinstitute.org/gsea/msigdb/cards/BIOCARTA_TNFR1_PATHWAY.html","BIOCARTA_TNFR1_PATHWAY")</f>
        <v>BIOCARTA_TNFR1_PATHWAY</v>
      </c>
      <c r="C1260" s="4">
        <v>28</v>
      </c>
      <c r="D1260" s="3">
        <v>1.5887039000000001</v>
      </c>
      <c r="E1260" s="1">
        <v>1.2302285E-2</v>
      </c>
      <c r="F1260" s="2">
        <v>3.9781450000000003E-2</v>
      </c>
    </row>
    <row r="1261" spans="1:6" x14ac:dyDescent="0.25">
      <c r="A1261" t="s">
        <v>7</v>
      </c>
      <c r="B1261" s="5" t="str">
        <f>HYPERLINK("http://www.broadinstitute.org/gsea/msigdb/cards/GOCC_COPII_VESICLE_COAT.html","GOCC_COPII_VESICLE_COAT")</f>
        <v>GOCC_COPII_VESICLE_COAT</v>
      </c>
      <c r="C1261" s="4">
        <v>15</v>
      </c>
      <c r="D1261" s="3">
        <v>1.5886709999999999</v>
      </c>
      <c r="E1261" s="1">
        <v>2.3688662999999999E-2</v>
      </c>
      <c r="F1261" s="2">
        <v>3.9756685E-2</v>
      </c>
    </row>
    <row r="1262" spans="1:6" x14ac:dyDescent="0.25">
      <c r="A1262" t="s">
        <v>6</v>
      </c>
      <c r="B1262" s="5" t="str">
        <f>HYPERLINK("http://www.broadinstitute.org/gsea/msigdb/cards/GOBP_ACTIN_FILAMENT_BASED_TRANSPORT.html","GOBP_ACTIN_FILAMENT_BASED_TRANSPORT")</f>
        <v>GOBP_ACTIN_FILAMENT_BASED_TRANSPORT</v>
      </c>
      <c r="C1262" s="4">
        <v>22</v>
      </c>
      <c r="D1262" s="3">
        <v>1.5884631</v>
      </c>
      <c r="E1262" s="1">
        <v>1.9867550000000001E-2</v>
      </c>
      <c r="F1262" s="2">
        <v>3.9800825999999997E-2</v>
      </c>
    </row>
    <row r="1263" spans="1:6" x14ac:dyDescent="0.25">
      <c r="A1263" t="s">
        <v>5</v>
      </c>
      <c r="B1263" s="5" t="str">
        <f>HYPERLINK("http://www.broadinstitute.org/gsea/msigdb/cards/BIOCARTA_IL2RB_PATHWAY.html","BIOCARTA_IL2RB_PATHWAY")</f>
        <v>BIOCARTA_IL2RB_PATHWAY</v>
      </c>
      <c r="C1263" s="4">
        <v>36</v>
      </c>
      <c r="D1263" s="3">
        <v>1.5882779</v>
      </c>
      <c r="E1263" s="1">
        <v>8.5470089999999995E-3</v>
      </c>
      <c r="F1263" s="2">
        <v>3.9842366999999997E-2</v>
      </c>
    </row>
    <row r="1264" spans="1:6" x14ac:dyDescent="0.25">
      <c r="A1264" t="s">
        <v>6</v>
      </c>
      <c r="B1264" s="5" t="str">
        <f>HYPERLINK("http://www.broadinstitute.org/gsea/msigdb/cards/GOBP_T_HELPER_CELL_LINEAGE_COMMITMENT.html","GOBP_T_HELPER_CELL_LINEAGE_COMMITMENT")</f>
        <v>GOBP_T_HELPER_CELL_LINEAGE_COMMITMENT</v>
      </c>
      <c r="C1264" s="4">
        <v>17</v>
      </c>
      <c r="D1264" s="3">
        <v>1.5881007</v>
      </c>
      <c r="E1264" s="1">
        <v>2.6978416000000002E-2</v>
      </c>
      <c r="F1264" s="2">
        <v>3.9870034999999998E-2</v>
      </c>
    </row>
    <row r="1265" spans="1:6" x14ac:dyDescent="0.25">
      <c r="A1265" t="s">
        <v>5</v>
      </c>
      <c r="B1265" s="5" t="str">
        <f>HYPERLINK("http://www.broadinstitute.org/gsea/msigdb/cards/BIOCARTA_NKCELLS_PATHWAY.html","BIOCARTA_NKCELLS_PATHWAY")</f>
        <v>BIOCARTA_NKCELLS_PATHWAY</v>
      </c>
      <c r="C1265" s="4">
        <v>17</v>
      </c>
      <c r="D1265" s="3">
        <v>1.587979</v>
      </c>
      <c r="E1265" s="1">
        <v>3.5335690000000003E-2</v>
      </c>
      <c r="F1265" s="2">
        <v>3.9882253999999999E-2</v>
      </c>
    </row>
    <row r="1266" spans="1:6" x14ac:dyDescent="0.25">
      <c r="A1266" t="s">
        <v>6</v>
      </c>
      <c r="B1266" s="5" t="str">
        <f>HYPERLINK("http://www.broadinstitute.org/gsea/msigdb/cards/GOBP_HORMONE_METABOLIC_PROCESS.html","GOBP_HORMONE_METABOLIC_PROCESS")</f>
        <v>GOBP_HORMONE_METABOLIC_PROCESS</v>
      </c>
      <c r="C1266" s="4">
        <v>216</v>
      </c>
      <c r="D1266" s="3">
        <v>1.5877836999999999</v>
      </c>
      <c r="E1266" s="1">
        <v>0</v>
      </c>
      <c r="F1266" s="2">
        <v>3.9926067000000003E-2</v>
      </c>
    </row>
    <row r="1267" spans="1:6" x14ac:dyDescent="0.25">
      <c r="A1267" t="s">
        <v>10</v>
      </c>
      <c r="B1267" s="5" t="str">
        <f>HYPERLINK("http://www.broadinstitute.org/gsea/msigdb/cards/REACTOME_ELASTIC_FIBRE_FORMATION.html","REACTOME_ELASTIC_FIBRE_FORMATION")</f>
        <v>REACTOME_ELASTIC_FIBRE_FORMATION</v>
      </c>
      <c r="C1267" s="4">
        <v>38</v>
      </c>
      <c r="D1267" s="3">
        <v>1.5869143000000001</v>
      </c>
      <c r="E1267" s="1">
        <v>1.5050167E-2</v>
      </c>
      <c r="F1267" s="2">
        <v>4.0190811999999999E-2</v>
      </c>
    </row>
    <row r="1268" spans="1:6" x14ac:dyDescent="0.25">
      <c r="A1268" t="s">
        <v>6</v>
      </c>
      <c r="B1268" s="5" t="str">
        <f>HYPERLINK("http://www.broadinstitute.org/gsea/msigdb/cards/GOBP_CELLULAR_RESPONSE_TO_REACTIVE_OXYGEN_SPECIES.html","GOBP_CELLULAR_RESPONSE_TO_REACTIVE_OXYGEN_SPECIES")</f>
        <v>GOBP_CELLULAR_RESPONSE_TO_REACTIVE_OXYGEN_SPECIES</v>
      </c>
      <c r="C1268" s="4">
        <v>141</v>
      </c>
      <c r="D1268" s="3">
        <v>1.5868468</v>
      </c>
      <c r="E1268" s="1">
        <v>0</v>
      </c>
      <c r="F1268" s="2">
        <v>4.0177956000000001E-2</v>
      </c>
    </row>
    <row r="1269" spans="1:6" x14ac:dyDescent="0.25">
      <c r="A1269" t="s">
        <v>6</v>
      </c>
      <c r="B1269" s="5" t="str">
        <f>HYPERLINK("http://www.broadinstitute.org/gsea/msigdb/cards/GOBP_FOCAL_ADHESION_ASSEMBLY.html","GOBP_FOCAL_ADHESION_ASSEMBLY")</f>
        <v>GOBP_FOCAL_ADHESION_ASSEMBLY</v>
      </c>
      <c r="C1269" s="4">
        <v>87</v>
      </c>
      <c r="D1269" s="3">
        <v>1.5863906999999999</v>
      </c>
      <c r="E1269" s="1">
        <v>1.5337422999999999E-3</v>
      </c>
      <c r="F1269" s="2">
        <v>4.0316477000000003E-2</v>
      </c>
    </row>
    <row r="1270" spans="1:6" x14ac:dyDescent="0.25">
      <c r="A1270" t="s">
        <v>6</v>
      </c>
      <c r="B1270" s="5" t="str">
        <f>HYPERLINK("http://www.broadinstitute.org/gsea/msigdb/cards/GOBP_RIBONUCLEOSIDE_CATABOLIC_PROCESS.html","GOBP_RIBONUCLEOSIDE_CATABOLIC_PROCESS")</f>
        <v>GOBP_RIBONUCLEOSIDE_CATABOLIC_PROCESS</v>
      </c>
      <c r="C1270" s="4">
        <v>15</v>
      </c>
      <c r="D1270" s="3">
        <v>1.5861182</v>
      </c>
      <c r="E1270" s="1">
        <v>1.8900343999999999E-2</v>
      </c>
      <c r="F1270" s="2">
        <v>4.0393203000000003E-2</v>
      </c>
    </row>
    <row r="1271" spans="1:6" x14ac:dyDescent="0.25">
      <c r="A1271" t="s">
        <v>6</v>
      </c>
      <c r="B1271" s="5" t="str">
        <f>HYPERLINK("http://www.broadinstitute.org/gsea/msigdb/cards/GOBP_REGULATION_OF_RHO_PROTEIN_SIGNAL_TRANSDUCTION.html","GOBP_REGULATION_OF_RHO_PROTEIN_SIGNAL_TRANSDUCTION")</f>
        <v>GOBP_REGULATION_OF_RHO_PROTEIN_SIGNAL_TRANSDUCTION</v>
      </c>
      <c r="C1271" s="4">
        <v>85</v>
      </c>
      <c r="D1271" s="3">
        <v>1.5860012000000001</v>
      </c>
      <c r="E1271" s="1">
        <v>3.1446540000000002E-3</v>
      </c>
      <c r="F1271" s="2">
        <v>4.0393776999999999E-2</v>
      </c>
    </row>
    <row r="1272" spans="1:6" x14ac:dyDescent="0.25">
      <c r="A1272" t="s">
        <v>6</v>
      </c>
      <c r="B1272" s="5" t="str">
        <f>HYPERLINK("http://www.broadinstitute.org/gsea/msigdb/cards/GOBP_ICOSANOID_TRANSPORT.html","GOBP_ICOSANOID_TRANSPORT")</f>
        <v>GOBP_ICOSANOID_TRANSPORT</v>
      </c>
      <c r="C1272" s="4">
        <v>65</v>
      </c>
      <c r="D1272" s="3">
        <v>1.5857361999999999</v>
      </c>
      <c r="E1272" s="1">
        <v>1.2678289000000001E-2</v>
      </c>
      <c r="F1272" s="2">
        <v>4.0449087000000002E-2</v>
      </c>
    </row>
    <row r="1273" spans="1:6" x14ac:dyDescent="0.25">
      <c r="A1273" t="s">
        <v>6</v>
      </c>
      <c r="B1273" s="5" t="str">
        <f>HYPERLINK("http://www.broadinstitute.org/gsea/msigdb/cards/GOBP_REGULATION_OF_PODOSOME_ASSEMBLY.html","GOBP_REGULATION_OF_PODOSOME_ASSEMBLY")</f>
        <v>GOBP_REGULATION_OF_PODOSOME_ASSEMBLY</v>
      </c>
      <c r="C1273" s="4">
        <v>16</v>
      </c>
      <c r="D1273" s="3">
        <v>1.5856615000000001</v>
      </c>
      <c r="E1273" s="1">
        <v>3.1304350000000002E-2</v>
      </c>
      <c r="F1273" s="2">
        <v>4.0447045000000001E-2</v>
      </c>
    </row>
    <row r="1274" spans="1:6" x14ac:dyDescent="0.25">
      <c r="A1274" t="s">
        <v>8</v>
      </c>
      <c r="B1274" s="5" t="str">
        <f>HYPERLINK("http://www.broadinstitute.org/gsea/msigdb/cards/GOMF_GLYCOLIPID_BINDING.html","GOMF_GLYCOLIPID_BINDING")</f>
        <v>GOMF_GLYCOLIPID_BINDING</v>
      </c>
      <c r="C1274" s="4">
        <v>31</v>
      </c>
      <c r="D1274" s="3">
        <v>1.5853797000000001</v>
      </c>
      <c r="E1274" s="1">
        <v>1.3536378999999999E-2</v>
      </c>
      <c r="F1274" s="2">
        <v>4.0527674999999999E-2</v>
      </c>
    </row>
    <row r="1275" spans="1:6" x14ac:dyDescent="0.25">
      <c r="A1275" t="s">
        <v>6</v>
      </c>
      <c r="B1275" s="5" t="str">
        <f>HYPERLINK("http://www.broadinstitute.org/gsea/msigdb/cards/GOBP_MAST_CELL_ACTIVATION_INVOLVED_IN_IMMUNE_RESPONSE.html","GOBP_MAST_CELL_ACTIVATION_INVOLVED_IN_IMMUNE_RESPONSE")</f>
        <v>GOBP_MAST_CELL_ACTIVATION_INVOLVED_IN_IMMUNE_RESPONSE</v>
      </c>
      <c r="C1275" s="4">
        <v>62</v>
      </c>
      <c r="D1275" s="3">
        <v>1.5852561000000001</v>
      </c>
      <c r="E1275" s="1">
        <v>1.104101E-2</v>
      </c>
      <c r="F1275" s="2">
        <v>4.0540106999999999E-2</v>
      </c>
    </row>
    <row r="1276" spans="1:6" x14ac:dyDescent="0.25">
      <c r="A1276" t="s">
        <v>10</v>
      </c>
      <c r="B1276" s="5" t="str">
        <f>HYPERLINK("http://www.broadinstitute.org/gsea/msigdb/cards/REACTOME_P130CAS_LINKAGE_TO_MAPK_SIGNALING_FOR_INTEGRINS.html","REACTOME_P130CAS_LINKAGE_TO_MAPK_SIGNALING_FOR_INTEGRINS")</f>
        <v>REACTOME_P130CAS_LINKAGE_TO_MAPK_SIGNALING_FOR_INTEGRINS</v>
      </c>
      <c r="C1276" s="4">
        <v>15</v>
      </c>
      <c r="D1276" s="3">
        <v>1.5850523999999999</v>
      </c>
      <c r="E1276" s="1">
        <v>2.8764805000000001E-2</v>
      </c>
      <c r="F1276" s="2">
        <v>4.0579761999999998E-2</v>
      </c>
    </row>
    <row r="1277" spans="1:6" x14ac:dyDescent="0.25">
      <c r="A1277" t="s">
        <v>6</v>
      </c>
      <c r="B1277" s="5" t="str">
        <f>HYPERLINK("http://www.broadinstitute.org/gsea/msigdb/cards/GOBP_CD40_SIGNALING_PATHWAY.html","GOBP_CD40_SIGNALING_PATHWAY")</f>
        <v>GOBP_CD40_SIGNALING_PATHWAY</v>
      </c>
      <c r="C1277" s="4">
        <v>17</v>
      </c>
      <c r="D1277" s="3">
        <v>1.5849124000000001</v>
      </c>
      <c r="E1277" s="1">
        <v>2.4163568E-2</v>
      </c>
      <c r="F1277" s="2">
        <v>4.0604862999999998E-2</v>
      </c>
    </row>
    <row r="1278" spans="1:6" x14ac:dyDescent="0.25">
      <c r="A1278" t="s">
        <v>6</v>
      </c>
      <c r="B1278" s="5" t="str">
        <f>HYPERLINK("http://www.broadinstitute.org/gsea/msigdb/cards/GOBP_REGULATION_OF_PROSTAGLANDIN_SECRETION.html","GOBP_REGULATION_OF_PROSTAGLANDIN_SECRETION")</f>
        <v>GOBP_REGULATION_OF_PROSTAGLANDIN_SECRETION</v>
      </c>
      <c r="C1278" s="4">
        <v>17</v>
      </c>
      <c r="D1278" s="3">
        <v>1.5848587000000001</v>
      </c>
      <c r="E1278" s="1">
        <v>2.4432809999999999E-2</v>
      </c>
      <c r="F1278" s="2">
        <v>4.0593404E-2</v>
      </c>
    </row>
    <row r="1279" spans="1:6" x14ac:dyDescent="0.25">
      <c r="A1279" t="s">
        <v>5</v>
      </c>
      <c r="B1279" s="5" t="str">
        <f>HYPERLINK("http://www.broadinstitute.org/gsea/msigdb/cards/BIOCARTA_NTHI_PATHWAY.html","BIOCARTA_NTHI_PATHWAY")</f>
        <v>BIOCARTA_NTHI_PATHWAY</v>
      </c>
      <c r="C1279" s="4">
        <v>22</v>
      </c>
      <c r="D1279" s="3">
        <v>1.5843086</v>
      </c>
      <c r="E1279" s="1">
        <v>2.1352313000000001E-2</v>
      </c>
      <c r="F1279" s="2">
        <v>4.0780603999999998E-2</v>
      </c>
    </row>
    <row r="1280" spans="1:6" x14ac:dyDescent="0.25">
      <c r="A1280" t="s">
        <v>6</v>
      </c>
      <c r="B1280" s="5" t="str">
        <f>HYPERLINK("http://www.broadinstitute.org/gsea/msigdb/cards/GOBP_ZYMOGEN_ACTIVATION.html","GOBP_ZYMOGEN_ACTIVATION")</f>
        <v>GOBP_ZYMOGEN_ACTIVATION</v>
      </c>
      <c r="C1280" s="4">
        <v>60</v>
      </c>
      <c r="D1280" s="3">
        <v>1.5837045999999999</v>
      </c>
      <c r="E1280" s="1">
        <v>4.5523522E-3</v>
      </c>
      <c r="F1280" s="2">
        <v>4.0970079999999999E-2</v>
      </c>
    </row>
    <row r="1281" spans="1:6" x14ac:dyDescent="0.25">
      <c r="A1281" t="s">
        <v>6</v>
      </c>
      <c r="B1281" s="5" t="str">
        <f>HYPERLINK("http://www.broadinstitute.org/gsea/msigdb/cards/GOBP_POSITIVE_REGULATION_OF_ERYTHROCYTE_DIFFERENTIATION.html","GOBP_POSITIVE_REGULATION_OF_ERYTHROCYTE_DIFFERENTIATION")</f>
        <v>GOBP_POSITIVE_REGULATION_OF_ERYTHROCYTE_DIFFERENTIATION</v>
      </c>
      <c r="C1281" s="4">
        <v>28</v>
      </c>
      <c r="D1281" s="3">
        <v>1.5831268999999999</v>
      </c>
      <c r="E1281" s="1">
        <v>2.5906736E-2</v>
      </c>
      <c r="F1281" s="2">
        <v>4.114462E-2</v>
      </c>
    </row>
    <row r="1282" spans="1:6" x14ac:dyDescent="0.25">
      <c r="A1282" t="s">
        <v>8</v>
      </c>
      <c r="B1282" s="5" t="str">
        <f>HYPERLINK("http://www.broadinstitute.org/gsea/msigdb/cards/GOMF_PHOSPHOLIPASE_BINDING.html","GOMF_PHOSPHOLIPASE_BINDING")</f>
        <v>GOMF_PHOSPHOLIPASE_BINDING</v>
      </c>
      <c r="C1282" s="4">
        <v>28</v>
      </c>
      <c r="D1282" s="3">
        <v>1.5827206</v>
      </c>
      <c r="E1282" s="1">
        <v>1.8211919999999999E-2</v>
      </c>
      <c r="F1282" s="2">
        <v>4.1260480000000002E-2</v>
      </c>
    </row>
    <row r="1283" spans="1:6" x14ac:dyDescent="0.25">
      <c r="A1283" t="s">
        <v>10</v>
      </c>
      <c r="B1283" s="5" t="str">
        <f>HYPERLINK("http://www.broadinstitute.org/gsea/msigdb/cards/REACTOME_RAB_GEFS_EXCHANGE_GTP_FOR_GDP_ON_RABS.html","REACTOME_RAB_GEFS_EXCHANGE_GTP_FOR_GDP_ON_RABS")</f>
        <v>REACTOME_RAB_GEFS_EXCHANGE_GTP_FOR_GDP_ON_RABS</v>
      </c>
      <c r="C1283" s="4">
        <v>89</v>
      </c>
      <c r="D1283" s="3">
        <v>1.5824293</v>
      </c>
      <c r="E1283" s="1">
        <v>6.2695922999999997E-3</v>
      </c>
      <c r="F1283" s="2">
        <v>4.1337520000000003E-2</v>
      </c>
    </row>
    <row r="1284" spans="1:6" x14ac:dyDescent="0.25">
      <c r="A1284" t="s">
        <v>8</v>
      </c>
      <c r="B1284" s="5" t="str">
        <f>HYPERLINK("http://www.broadinstitute.org/gsea/msigdb/cards/GOMF_RECEPTOR_TYROSINE_KINASE_BINDING.html","GOMF_RECEPTOR_TYROSINE_KINASE_BINDING")</f>
        <v>GOMF_RECEPTOR_TYROSINE_KINASE_BINDING</v>
      </c>
      <c r="C1284" s="4">
        <v>81</v>
      </c>
      <c r="D1284" s="3">
        <v>1.5823319</v>
      </c>
      <c r="E1284" s="1">
        <v>9.3167700000000003E-3</v>
      </c>
      <c r="F1284" s="2">
        <v>4.1346747000000003E-2</v>
      </c>
    </row>
    <row r="1285" spans="1:6" x14ac:dyDescent="0.25">
      <c r="A1285" t="s">
        <v>6</v>
      </c>
      <c r="B1285" s="5" t="str">
        <f>HYPERLINK("http://www.broadinstitute.org/gsea/msigdb/cards/GOBP_REGULATION_OF_POSITIVE_CHEMOTAXIS.html","GOBP_REGULATION_OF_POSITIVE_CHEMOTAXIS")</f>
        <v>GOBP_REGULATION_OF_POSITIVE_CHEMOTAXIS</v>
      </c>
      <c r="C1285" s="4">
        <v>26</v>
      </c>
      <c r="D1285" s="3">
        <v>1.5823201</v>
      </c>
      <c r="E1285" s="1">
        <v>1.2259195000000001E-2</v>
      </c>
      <c r="F1285" s="2">
        <v>4.1317872999999998E-2</v>
      </c>
    </row>
    <row r="1286" spans="1:6" x14ac:dyDescent="0.25">
      <c r="A1286" t="s">
        <v>6</v>
      </c>
      <c r="B1286" s="5" t="str">
        <f>HYPERLINK("http://www.broadinstitute.org/gsea/msigdb/cards/GOBP_GMP_METABOLIC_PROCESS.html","GOBP_GMP_METABOLIC_PROCESS")</f>
        <v>GOBP_GMP_METABOLIC_PROCESS</v>
      </c>
      <c r="C1286" s="4">
        <v>23</v>
      </c>
      <c r="D1286" s="3">
        <v>1.5821381999999999</v>
      </c>
      <c r="E1286" s="1">
        <v>1.7605633999999998E-2</v>
      </c>
      <c r="F1286" s="2">
        <v>4.1365060000000002E-2</v>
      </c>
    </row>
    <row r="1287" spans="1:6" x14ac:dyDescent="0.25">
      <c r="A1287" t="s">
        <v>11</v>
      </c>
      <c r="B1287" s="5" t="str">
        <f>HYPERLINK("http://www.broadinstitute.org/gsea/msigdb/cards/WP_OXIDATIVE_STRESS_RESPONSE.html","WP_OXIDATIVE_STRESS_RESPONSE")</f>
        <v>WP_OXIDATIVE_STRESS_RESPONSE</v>
      </c>
      <c r="C1287" s="4">
        <v>28</v>
      </c>
      <c r="D1287" s="3">
        <v>1.5816119</v>
      </c>
      <c r="E1287" s="1">
        <v>1.1744967E-2</v>
      </c>
      <c r="F1287" s="2">
        <v>4.1528641999999998E-2</v>
      </c>
    </row>
    <row r="1288" spans="1:6" x14ac:dyDescent="0.25">
      <c r="A1288" t="s">
        <v>6</v>
      </c>
      <c r="B1288" s="5" t="str">
        <f>HYPERLINK("http://www.broadinstitute.org/gsea/msigdb/cards/GOBP_CELLULAR_RESPONSE_TO_DSRNA.html","GOBP_CELLULAR_RESPONSE_TO_DSRNA")</f>
        <v>GOBP_CELLULAR_RESPONSE_TO_DSRNA</v>
      </c>
      <c r="C1288" s="4">
        <v>19</v>
      </c>
      <c r="D1288" s="3">
        <v>1.5811432999999999</v>
      </c>
      <c r="E1288" s="1">
        <v>2.1812081000000001E-2</v>
      </c>
      <c r="F1288" s="2">
        <v>4.1674107000000002E-2</v>
      </c>
    </row>
    <row r="1289" spans="1:6" x14ac:dyDescent="0.25">
      <c r="A1289" t="s">
        <v>7</v>
      </c>
      <c r="B1289" s="5" t="str">
        <f>HYPERLINK("http://www.broadinstitute.org/gsea/msigdb/cards/GOCC_DESMOSOME.html","GOCC_DESMOSOME")</f>
        <v>GOCC_DESMOSOME</v>
      </c>
      <c r="C1289" s="4">
        <v>25</v>
      </c>
      <c r="D1289" s="3">
        <v>1.5806742</v>
      </c>
      <c r="E1289" s="1">
        <v>1.9503547E-2</v>
      </c>
      <c r="F1289" s="2">
        <v>4.1831892000000002E-2</v>
      </c>
    </row>
    <row r="1290" spans="1:6" x14ac:dyDescent="0.25">
      <c r="A1290" t="s">
        <v>6</v>
      </c>
      <c r="B1290" s="5" t="str">
        <f>HYPERLINK("http://www.broadinstitute.org/gsea/msigdb/cards/GOBP_RESPONSE_TO_FLUID_SHEAR_STRESS.html","GOBP_RESPONSE_TO_FLUID_SHEAR_STRESS")</f>
        <v>GOBP_RESPONSE_TO_FLUID_SHEAR_STRESS</v>
      </c>
      <c r="C1290" s="4">
        <v>24</v>
      </c>
      <c r="D1290" s="3">
        <v>1.5806017999999999</v>
      </c>
      <c r="E1290" s="1">
        <v>1.0152283999999999E-2</v>
      </c>
      <c r="F1290" s="2">
        <v>4.1822894999999999E-2</v>
      </c>
    </row>
    <row r="1291" spans="1:6" x14ac:dyDescent="0.25">
      <c r="A1291" t="s">
        <v>6</v>
      </c>
      <c r="B1291" s="5" t="str">
        <f>HYPERLINK("http://www.broadinstitute.org/gsea/msigdb/cards/GOBP_TRANSEPITHELIAL_TRANSPORT.html","GOBP_TRANSEPITHELIAL_TRANSPORT")</f>
        <v>GOBP_TRANSEPITHELIAL_TRANSPORT</v>
      </c>
      <c r="C1291" s="4">
        <v>33</v>
      </c>
      <c r="D1291" s="3">
        <v>1.5803984</v>
      </c>
      <c r="E1291" s="1">
        <v>1.3793102999999999E-2</v>
      </c>
      <c r="F1291" s="2">
        <v>4.1869472999999997E-2</v>
      </c>
    </row>
    <row r="1292" spans="1:6" x14ac:dyDescent="0.25">
      <c r="A1292" t="s">
        <v>6</v>
      </c>
      <c r="B1292" s="5" t="str">
        <f>HYPERLINK("http://www.broadinstitute.org/gsea/msigdb/cards/GOBP_RUFFLE_ORGANIZATION.html","GOBP_RUFFLE_ORGANIZATION")</f>
        <v>GOBP_RUFFLE_ORGANIZATION</v>
      </c>
      <c r="C1292" s="4">
        <v>53</v>
      </c>
      <c r="D1292" s="3">
        <v>1.5798829000000001</v>
      </c>
      <c r="E1292" s="1">
        <v>1.309329E-2</v>
      </c>
      <c r="F1292" s="2">
        <v>4.2018313000000002E-2</v>
      </c>
    </row>
    <row r="1293" spans="1:6" x14ac:dyDescent="0.25">
      <c r="A1293" t="s">
        <v>8</v>
      </c>
      <c r="B1293" s="5" t="str">
        <f>HYPERLINK("http://www.broadinstitute.org/gsea/msigdb/cards/GOMF_SPHINGOLIPID_TRANSPORTER_ACTIVITY.html","GOMF_SPHINGOLIPID_TRANSPORTER_ACTIVITY")</f>
        <v>GOMF_SPHINGOLIPID_TRANSPORTER_ACTIVITY</v>
      </c>
      <c r="C1293" s="4">
        <v>16</v>
      </c>
      <c r="D1293" s="3">
        <v>1.5797222</v>
      </c>
      <c r="E1293" s="1">
        <v>2.0618556E-2</v>
      </c>
      <c r="F1293" s="2">
        <v>4.2035278000000002E-2</v>
      </c>
    </row>
    <row r="1294" spans="1:6" x14ac:dyDescent="0.25">
      <c r="A1294" t="s">
        <v>6</v>
      </c>
      <c r="B1294" s="5" t="str">
        <f>HYPERLINK("http://www.broadinstitute.org/gsea/msigdb/cards/GOBP_SEROTONIN_TRANSPORT.html","GOBP_SEROTONIN_TRANSPORT")</f>
        <v>GOBP_SEROTONIN_TRANSPORT</v>
      </c>
      <c r="C1294" s="4">
        <v>30</v>
      </c>
      <c r="D1294" s="3">
        <v>1.5788324</v>
      </c>
      <c r="E1294" s="1">
        <v>1.7094017999999999E-2</v>
      </c>
      <c r="F1294" s="2">
        <v>4.2328272E-2</v>
      </c>
    </row>
    <row r="1295" spans="1:6" x14ac:dyDescent="0.25">
      <c r="A1295" t="s">
        <v>6</v>
      </c>
      <c r="B1295" s="5" t="str">
        <f>HYPERLINK("http://www.broadinstitute.org/gsea/msigdb/cards/GOBP_BARBED_END_ACTIN_FILAMENT_CAPPING.html","GOBP_BARBED_END_ACTIN_FILAMENT_CAPPING")</f>
        <v>GOBP_BARBED_END_ACTIN_FILAMENT_CAPPING</v>
      </c>
      <c r="C1295" s="4">
        <v>26</v>
      </c>
      <c r="D1295" s="3">
        <v>1.5781202000000001</v>
      </c>
      <c r="E1295" s="1">
        <v>3.0405405999999999E-2</v>
      </c>
      <c r="F1295" s="2">
        <v>4.2548574999999998E-2</v>
      </c>
    </row>
    <row r="1296" spans="1:6" x14ac:dyDescent="0.25">
      <c r="A1296" t="s">
        <v>6</v>
      </c>
      <c r="B1296" s="5" t="str">
        <f>HYPERLINK("http://www.broadinstitute.org/gsea/msigdb/cards/GOBP_CELLULAR_RESPONSE_TO_ARSENIC_CONTAINING_SUBSTANCE.html","GOBP_CELLULAR_RESPONSE_TO_ARSENIC_CONTAINING_SUBSTANCE")</f>
        <v>GOBP_CELLULAR_RESPONSE_TO_ARSENIC_CONTAINING_SUBSTANCE</v>
      </c>
      <c r="C1296" s="4">
        <v>18</v>
      </c>
      <c r="D1296" s="3">
        <v>1.5779399999999999</v>
      </c>
      <c r="E1296" s="1">
        <v>2.4734982999999999E-2</v>
      </c>
      <c r="F1296" s="2">
        <v>4.2579282000000003E-2</v>
      </c>
    </row>
    <row r="1297" spans="1:6" x14ac:dyDescent="0.25">
      <c r="A1297" t="s">
        <v>8</v>
      </c>
      <c r="B1297" s="5" t="str">
        <f>HYPERLINK("http://www.broadinstitute.org/gsea/msigdb/cards/GOMF_PHOSPHOLIPID_SCRAMBLASE_ACTIVITY.html","GOMF_PHOSPHOLIPID_SCRAMBLASE_ACTIVITY")</f>
        <v>GOMF_PHOSPHOLIPID_SCRAMBLASE_ACTIVITY</v>
      </c>
      <c r="C1297" s="4">
        <v>21</v>
      </c>
      <c r="D1297" s="3">
        <v>1.5773603</v>
      </c>
      <c r="E1297" s="1">
        <v>2.027027E-2</v>
      </c>
      <c r="F1297" s="2">
        <v>4.2765822000000002E-2</v>
      </c>
    </row>
    <row r="1298" spans="1:6" x14ac:dyDescent="0.25">
      <c r="A1298" t="s">
        <v>10</v>
      </c>
      <c r="B1298" s="5" t="str">
        <f>HYPERLINK("http://www.broadinstitute.org/gsea/msigdb/cards/REACTOME_PLASMA_LIPOPROTEIN_ASSEMBLY_REMODELING_AND_CLEARANCE.html","REACTOME_PLASMA_LIPOPROTEIN_ASSEMBLY_REMODELING_AND_CLEARANCE")</f>
        <v>REACTOME_PLASMA_LIPOPROTEIN_ASSEMBLY_REMODELING_AND_CLEARANCE</v>
      </c>
      <c r="C1298" s="4">
        <v>62</v>
      </c>
      <c r="D1298" s="3">
        <v>1.5772820000000001</v>
      </c>
      <c r="E1298" s="1">
        <v>1.3615734000000001E-2</v>
      </c>
      <c r="F1298" s="2">
        <v>4.2765404999999999E-2</v>
      </c>
    </row>
    <row r="1299" spans="1:6" x14ac:dyDescent="0.25">
      <c r="A1299" t="s">
        <v>10</v>
      </c>
      <c r="B1299" s="5" t="str">
        <f>HYPERLINK("http://www.broadinstitute.org/gsea/msigdb/cards/REACTOME_NUCLEOTIDE_BINDING_DOMAIN_LEUCINE_RICH_REPEAT_CONTAINING_RECEPTOR_NLR_SIGNALING_PATHWAYS.html","REACTOME_NUCLEOTIDE_BINDING_DOMAIN_LEUCINE_RICH_REPEAT_CONTAINING_RECEPTOR_NLR_SIGNALING_PATHWAYS")</f>
        <v>REACTOME_NUCLEOTIDE_BINDING_DOMAIN_LEUCINE_RICH_REPEAT_CONTAINING_RECEPTOR_NLR_SIGNALING_PATHWAYS</v>
      </c>
      <c r="C1299" s="4">
        <v>45</v>
      </c>
      <c r="D1299" s="3">
        <v>1.5770215000000001</v>
      </c>
      <c r="E1299" s="1">
        <v>1.3400334999999999E-2</v>
      </c>
      <c r="F1299" s="2">
        <v>4.2825162E-2</v>
      </c>
    </row>
    <row r="1300" spans="1:6" x14ac:dyDescent="0.25">
      <c r="A1300" t="s">
        <v>6</v>
      </c>
      <c r="B1300" s="5" t="str">
        <f>HYPERLINK("http://www.broadinstitute.org/gsea/msigdb/cards/GOBP_MONOCYTE_CHEMOTACTIC_PROTEIN_1_PRODUCTION.html","GOBP_MONOCYTE_CHEMOTACTIC_PROTEIN_1_PRODUCTION")</f>
        <v>GOBP_MONOCYTE_CHEMOTACTIC_PROTEIN_1_PRODUCTION</v>
      </c>
      <c r="C1300" s="4">
        <v>30</v>
      </c>
      <c r="D1300" s="3">
        <v>1.5768876000000001</v>
      </c>
      <c r="E1300" s="1">
        <v>1.309329E-2</v>
      </c>
      <c r="F1300" s="2">
        <v>4.2844630000000002E-2</v>
      </c>
    </row>
    <row r="1301" spans="1:6" x14ac:dyDescent="0.25">
      <c r="A1301" t="s">
        <v>8</v>
      </c>
      <c r="B1301" s="5" t="str">
        <f>HYPERLINK("http://www.broadinstitute.org/gsea/msigdb/cards/GOMF_WW_DOMAIN_BINDING.html","GOMF_WW_DOMAIN_BINDING")</f>
        <v>GOMF_WW_DOMAIN_BINDING</v>
      </c>
      <c r="C1301" s="4">
        <v>24</v>
      </c>
      <c r="D1301" s="3">
        <v>1.5763442999999999</v>
      </c>
      <c r="E1301" s="1">
        <v>2.0654044999999999E-2</v>
      </c>
      <c r="F1301" s="2">
        <v>4.3022684999999998E-2</v>
      </c>
    </row>
    <row r="1302" spans="1:6" x14ac:dyDescent="0.25">
      <c r="A1302" t="s">
        <v>8</v>
      </c>
      <c r="B1302" s="5" t="str">
        <f>HYPERLINK("http://www.broadinstitute.org/gsea/msigdb/cards/GOMF_FLAVIN_ADENINE_DINUCLEOTIDE_BINDING.html","GOMF_FLAVIN_ADENINE_DINUCLEOTIDE_BINDING")</f>
        <v>GOMF_FLAVIN_ADENINE_DINUCLEOTIDE_BINDING</v>
      </c>
      <c r="C1302" s="4">
        <v>89</v>
      </c>
      <c r="D1302" s="3">
        <v>1.5763202000000001</v>
      </c>
      <c r="E1302" s="1">
        <v>1.5455950000000001E-3</v>
      </c>
      <c r="F1302" s="2">
        <v>4.299708E-2</v>
      </c>
    </row>
    <row r="1303" spans="1:6" x14ac:dyDescent="0.25">
      <c r="A1303" t="s">
        <v>10</v>
      </c>
      <c r="B1303" s="5" t="str">
        <f>HYPERLINK("http://www.broadinstitute.org/gsea/msigdb/cards/REACTOME_DRUG_ADME.html","REACTOME_DRUG_ADME")</f>
        <v>REACTOME_DRUG_ADME</v>
      </c>
      <c r="C1303" s="4">
        <v>88</v>
      </c>
      <c r="D1303" s="3">
        <v>1.576195</v>
      </c>
      <c r="E1303" s="1">
        <v>4.7169810000000003E-3</v>
      </c>
      <c r="F1303" s="2">
        <v>4.3011582999999999E-2</v>
      </c>
    </row>
    <row r="1304" spans="1:6" x14ac:dyDescent="0.25">
      <c r="A1304" t="s">
        <v>6</v>
      </c>
      <c r="B1304" s="5" t="str">
        <f>HYPERLINK("http://www.broadinstitute.org/gsea/msigdb/cards/GOBP_IMP_METABOLIC_PROCESS.html","GOBP_IMP_METABOLIC_PROCESS")</f>
        <v>GOBP_IMP_METABOLIC_PROCESS</v>
      </c>
      <c r="C1304" s="4">
        <v>23</v>
      </c>
      <c r="D1304" s="3">
        <v>1.5759567000000001</v>
      </c>
      <c r="E1304" s="1">
        <v>1.7857143999999998E-2</v>
      </c>
      <c r="F1304" s="2">
        <v>4.3059275000000001E-2</v>
      </c>
    </row>
    <row r="1305" spans="1:6" x14ac:dyDescent="0.25">
      <c r="A1305" t="s">
        <v>10</v>
      </c>
      <c r="B1305" s="5" t="str">
        <f>HYPERLINK("http://www.broadinstitute.org/gsea/msigdb/cards/REACTOME_SIGNALING_BY_CSF3_G_CSF.html","REACTOME_SIGNALING_BY_CSF3_G_CSF")</f>
        <v>REACTOME_SIGNALING_BY_CSF3_G_CSF</v>
      </c>
      <c r="C1305" s="4">
        <v>22</v>
      </c>
      <c r="D1305" s="3">
        <v>1.5755994</v>
      </c>
      <c r="E1305" s="1">
        <v>3.9285715999999998E-2</v>
      </c>
      <c r="F1305" s="2">
        <v>4.3165106000000002E-2</v>
      </c>
    </row>
    <row r="1306" spans="1:6" x14ac:dyDescent="0.25">
      <c r="A1306" t="s">
        <v>6</v>
      </c>
      <c r="B1306" s="5" t="str">
        <f>HYPERLINK("http://www.broadinstitute.org/gsea/msigdb/cards/GOBP_POSITIVE_REGULATION_OF_VASCULAR_ASSOCIATED_SMOOTH_MUSCLE_CELL_PROLIFERATION.html","GOBP_POSITIVE_REGULATION_OF_VASCULAR_ASSOCIATED_SMOOTH_MUSCLE_CELL_PROLIFERATION")</f>
        <v>GOBP_POSITIVE_REGULATION_OF_VASCULAR_ASSOCIATED_SMOOTH_MUSCLE_CELL_PROLIFERATION</v>
      </c>
      <c r="C1306" s="4">
        <v>43</v>
      </c>
      <c r="D1306" s="3">
        <v>1.5748991000000001</v>
      </c>
      <c r="E1306" s="1">
        <v>1.8394648999999999E-2</v>
      </c>
      <c r="F1306" s="2">
        <v>4.3395481999999999E-2</v>
      </c>
    </row>
    <row r="1307" spans="1:6" x14ac:dyDescent="0.25">
      <c r="A1307" t="s">
        <v>6</v>
      </c>
      <c r="B1307" s="5" t="str">
        <f>HYPERLINK("http://www.broadinstitute.org/gsea/msigdb/cards/GOBP_POST_GOLGI_VESICLE_MEDIATED_TRANSPORT.html","GOBP_POST_GOLGI_VESICLE_MEDIATED_TRANSPORT")</f>
        <v>GOBP_POST_GOLGI_VESICLE_MEDIATED_TRANSPORT</v>
      </c>
      <c r="C1307" s="4">
        <v>97</v>
      </c>
      <c r="D1307" s="3">
        <v>1.5741875999999999</v>
      </c>
      <c r="E1307" s="1">
        <v>0</v>
      </c>
      <c r="F1307" s="2">
        <v>4.3611360000000002E-2</v>
      </c>
    </row>
    <row r="1308" spans="1:6" x14ac:dyDescent="0.25">
      <c r="A1308" t="s">
        <v>7</v>
      </c>
      <c r="B1308" s="5" t="str">
        <f>HYPERLINK("http://www.broadinstitute.org/gsea/msigdb/cards/GOCC_GLIAL_CELL_PROJECTION.html","GOCC_GLIAL_CELL_PROJECTION")</f>
        <v>GOCC_GLIAL_CELL_PROJECTION</v>
      </c>
      <c r="C1308" s="4">
        <v>45</v>
      </c>
      <c r="D1308" s="3">
        <v>1.574004</v>
      </c>
      <c r="E1308" s="1">
        <v>9.9502484999999998E-3</v>
      </c>
      <c r="F1308" s="2">
        <v>4.3639369999999997E-2</v>
      </c>
    </row>
    <row r="1309" spans="1:6" x14ac:dyDescent="0.25">
      <c r="A1309" t="s">
        <v>6</v>
      </c>
      <c r="B1309" s="5" t="str">
        <f>HYPERLINK("http://www.broadinstitute.org/gsea/msigdb/cards/GOBP_LYSOSOMAL_TRANSPORT.html","GOBP_LYSOSOMAL_TRANSPORT")</f>
        <v>GOBP_LYSOSOMAL_TRANSPORT</v>
      </c>
      <c r="C1309" s="4">
        <v>126</v>
      </c>
      <c r="D1309" s="3">
        <v>1.5739609999999999</v>
      </c>
      <c r="E1309" s="1">
        <v>7.3746311999999996E-3</v>
      </c>
      <c r="F1309" s="2">
        <v>4.3619263999999998E-2</v>
      </c>
    </row>
    <row r="1310" spans="1:6" x14ac:dyDescent="0.25">
      <c r="A1310" t="s">
        <v>6</v>
      </c>
      <c r="B1310" s="5" t="str">
        <f>HYPERLINK("http://www.broadinstitute.org/gsea/msigdb/cards/GOBP_MYOBLAST_FUSION.html","GOBP_MYOBLAST_FUSION")</f>
        <v>GOBP_MYOBLAST_FUSION</v>
      </c>
      <c r="C1310" s="4">
        <v>49</v>
      </c>
      <c r="D1310" s="3">
        <v>1.5737466</v>
      </c>
      <c r="E1310" s="1">
        <v>4.7543580000000002E-3</v>
      </c>
      <c r="F1310" s="2">
        <v>4.3655496000000002E-2</v>
      </c>
    </row>
    <row r="1311" spans="1:6" x14ac:dyDescent="0.25">
      <c r="A1311" t="s">
        <v>6</v>
      </c>
      <c r="B1311" s="5" t="str">
        <f>HYPERLINK("http://www.broadinstitute.org/gsea/msigdb/cards/GOBP_REGULATION_OF_PROTEIN_CONTAINING_COMPLEX_ASSEMBLY.html","GOBP_REGULATION_OF_PROTEIN_CONTAINING_COMPLEX_ASSEMBLY")</f>
        <v>GOBP_REGULATION_OF_PROTEIN_CONTAINING_COMPLEX_ASSEMBLY</v>
      </c>
      <c r="C1311" s="4">
        <v>425</v>
      </c>
      <c r="D1311" s="3">
        <v>1.5732759000000001</v>
      </c>
      <c r="E1311" s="1">
        <v>0</v>
      </c>
      <c r="F1311" s="2">
        <v>4.3807723E-2</v>
      </c>
    </row>
    <row r="1312" spans="1:6" x14ac:dyDescent="0.25">
      <c r="A1312" t="s">
        <v>7</v>
      </c>
      <c r="B1312" s="5" t="str">
        <f>HYPERLINK("http://www.broadinstitute.org/gsea/msigdb/cards/GOCC_PLASMA_MEMBRANE_SIGNALING_RECEPTOR_COMPLEX.html","GOCC_PLASMA_MEMBRANE_SIGNALING_RECEPTOR_COMPLEX")</f>
        <v>GOCC_PLASMA_MEMBRANE_SIGNALING_RECEPTOR_COMPLEX</v>
      </c>
      <c r="C1312" s="4">
        <v>182</v>
      </c>
      <c r="D1312" s="3">
        <v>1.5732461</v>
      </c>
      <c r="E1312" s="1">
        <v>1.4124293999999999E-3</v>
      </c>
      <c r="F1312" s="2">
        <v>4.3781753999999999E-2</v>
      </c>
    </row>
    <row r="1313" spans="1:6" x14ac:dyDescent="0.25">
      <c r="A1313" t="s">
        <v>6</v>
      </c>
      <c r="B1313" s="5" t="str">
        <f>HYPERLINK("http://www.broadinstitute.org/gsea/msigdb/cards/GOBP_NEGATIVE_REGULATION_OF_CELLULAR_RESPONSE_TO_GROWTH_FACTOR_STIMULUS.html","GOBP_NEGATIVE_REGULATION_OF_CELLULAR_RESPONSE_TO_GROWTH_FACTOR_STIMULUS")</f>
        <v>GOBP_NEGATIVE_REGULATION_OF_CELLULAR_RESPONSE_TO_GROWTH_FACTOR_STIMULUS</v>
      </c>
      <c r="C1313" s="4">
        <v>105</v>
      </c>
      <c r="D1313" s="3">
        <v>1.5731881000000001</v>
      </c>
      <c r="E1313" s="1">
        <v>6.0606059999999996E-3</v>
      </c>
      <c r="F1313" s="2">
        <v>4.3768215999999999E-2</v>
      </c>
    </row>
    <row r="1314" spans="1:6" x14ac:dyDescent="0.25">
      <c r="A1314" t="s">
        <v>10</v>
      </c>
      <c r="B1314" s="5" t="str">
        <f>HYPERLINK("http://www.broadinstitute.org/gsea/msigdb/cards/REACTOME_SIGNALING_BY_NTRKS.html","REACTOME_SIGNALING_BY_NTRKS")</f>
        <v>REACTOME_SIGNALING_BY_NTRKS</v>
      </c>
      <c r="C1314" s="4">
        <v>75</v>
      </c>
      <c r="D1314" s="3">
        <v>1.5723863</v>
      </c>
      <c r="E1314" s="1">
        <v>4.7543580000000002E-3</v>
      </c>
      <c r="F1314" s="2">
        <v>4.4084157999999998E-2</v>
      </c>
    </row>
    <row r="1315" spans="1:6" x14ac:dyDescent="0.25">
      <c r="A1315" t="s">
        <v>10</v>
      </c>
      <c r="B1315" s="5" t="str">
        <f>HYPERLINK("http://www.broadinstitute.org/gsea/msigdb/cards/REACTOME_RHO_GTPASE_CYCLE.html","REACTOME_RHO_GTPASE_CYCLE")</f>
        <v>REACTOME_RHO_GTPASE_CYCLE</v>
      </c>
      <c r="C1315" s="4">
        <v>419</v>
      </c>
      <c r="D1315" s="3">
        <v>1.5721601999999999</v>
      </c>
      <c r="E1315" s="1">
        <v>0</v>
      </c>
      <c r="F1315" s="2">
        <v>4.4139789999999998E-2</v>
      </c>
    </row>
    <row r="1316" spans="1:6" x14ac:dyDescent="0.25">
      <c r="A1316" t="s">
        <v>6</v>
      </c>
      <c r="B1316" s="5" t="str">
        <f>HYPERLINK("http://www.broadinstitute.org/gsea/msigdb/cards/GOBP_POSITIVE_REGULATION_OF_NITRIC_OXIDE_SYNTHASE_ACTIVITY.html","GOBP_POSITIVE_REGULATION_OF_NITRIC_OXIDE_SYNTHASE_ACTIVITY")</f>
        <v>GOBP_POSITIVE_REGULATION_OF_NITRIC_OXIDE_SYNTHASE_ACTIVITY</v>
      </c>
      <c r="C1316" s="4">
        <v>19</v>
      </c>
      <c r="D1316" s="3">
        <v>1.5707031</v>
      </c>
      <c r="E1316" s="1">
        <v>2.6978416000000002E-2</v>
      </c>
      <c r="F1316" s="2">
        <v>4.4645810000000001E-2</v>
      </c>
    </row>
    <row r="1317" spans="1:6" x14ac:dyDescent="0.25">
      <c r="A1317" t="s">
        <v>8</v>
      </c>
      <c r="B1317" s="5" t="str">
        <f>HYPERLINK("http://www.broadinstitute.org/gsea/msigdb/cards/GOMF_CYCLASE_ACTIVITY.html","GOMF_CYCLASE_ACTIVITY")</f>
        <v>GOMF_CYCLASE_ACTIVITY</v>
      </c>
      <c r="C1317" s="4">
        <v>26</v>
      </c>
      <c r="D1317" s="3">
        <v>1.570613</v>
      </c>
      <c r="E1317" s="1">
        <v>2.1352313000000001E-2</v>
      </c>
      <c r="F1317" s="2">
        <v>4.4639890000000002E-2</v>
      </c>
    </row>
    <row r="1318" spans="1:6" x14ac:dyDescent="0.25">
      <c r="A1318" t="s">
        <v>6</v>
      </c>
      <c r="B1318" s="5" t="str">
        <f>HYPERLINK("http://www.broadinstitute.org/gsea/msigdb/cards/GOBP_T_CELL_DIFFERENTIATION.html","GOBP_T_CELL_DIFFERENTIATION")</f>
        <v>GOBP_T_CELL_DIFFERENTIATION</v>
      </c>
      <c r="C1318" s="4">
        <v>329</v>
      </c>
      <c r="D1318" s="3">
        <v>1.5704947</v>
      </c>
      <c r="E1318" s="1">
        <v>1.2953368000000001E-3</v>
      </c>
      <c r="F1318" s="2">
        <v>4.4648815000000001E-2</v>
      </c>
    </row>
    <row r="1319" spans="1:6" x14ac:dyDescent="0.25">
      <c r="A1319" t="s">
        <v>5</v>
      </c>
      <c r="B1319" s="5" t="str">
        <f>HYPERLINK("http://www.broadinstitute.org/gsea/msigdb/cards/BIOCARTA_ERK_PATHWAY.html","BIOCARTA_ERK_PATHWAY")</f>
        <v>BIOCARTA_ERK_PATHWAY</v>
      </c>
      <c r="C1319" s="4">
        <v>25</v>
      </c>
      <c r="D1319" s="3">
        <v>1.5700485</v>
      </c>
      <c r="E1319" s="1">
        <v>2.0761246000000001E-2</v>
      </c>
      <c r="F1319" s="2">
        <v>4.4788424E-2</v>
      </c>
    </row>
    <row r="1320" spans="1:6" x14ac:dyDescent="0.25">
      <c r="A1320" t="s">
        <v>6</v>
      </c>
      <c r="B1320" s="5" t="str">
        <f>HYPERLINK("http://www.broadinstitute.org/gsea/msigdb/cards/GOBP_ORGANOPHOSPHATE_CATABOLIC_PROCESS.html","GOBP_ORGANOPHOSPHATE_CATABOLIC_PROCESS")</f>
        <v>GOBP_ORGANOPHOSPHATE_CATABOLIC_PROCESS</v>
      </c>
      <c r="C1320" s="4">
        <v>136</v>
      </c>
      <c r="D1320" s="3">
        <v>1.5691006000000001</v>
      </c>
      <c r="E1320" s="1">
        <v>1.4619883000000001E-3</v>
      </c>
      <c r="F1320" s="2">
        <v>4.5153942000000002E-2</v>
      </c>
    </row>
    <row r="1321" spans="1:6" x14ac:dyDescent="0.25">
      <c r="A1321" t="s">
        <v>6</v>
      </c>
      <c r="B1321" s="5" t="str">
        <f>HYPERLINK("http://www.broadinstitute.org/gsea/msigdb/cards/GOBP_BONE_MINERALIZATION.html","GOBP_BONE_MINERALIZATION")</f>
        <v>GOBP_BONE_MINERALIZATION</v>
      </c>
      <c r="C1321" s="4">
        <v>133</v>
      </c>
      <c r="D1321" s="3">
        <v>1.5690295000000001</v>
      </c>
      <c r="E1321" s="1">
        <v>3.0395137E-3</v>
      </c>
      <c r="F1321" s="2">
        <v>4.5136929999999999E-2</v>
      </c>
    </row>
    <row r="1322" spans="1:6" x14ac:dyDescent="0.25">
      <c r="A1322" t="s">
        <v>6</v>
      </c>
      <c r="B1322" s="5" t="str">
        <f>HYPERLINK("http://www.broadinstitute.org/gsea/msigdb/cards/GOBP_CYTOKINETIC_PROCESS.html","GOBP_CYTOKINETIC_PROCESS")</f>
        <v>GOBP_CYTOKINETIC_PROCESS</v>
      </c>
      <c r="C1322" s="4">
        <v>41</v>
      </c>
      <c r="D1322" s="3">
        <v>1.5685092</v>
      </c>
      <c r="E1322" s="1">
        <v>8.3752099999999993E-3</v>
      </c>
      <c r="F1322" s="2">
        <v>4.5284974999999998E-2</v>
      </c>
    </row>
    <row r="1323" spans="1:6" x14ac:dyDescent="0.25">
      <c r="A1323" t="s">
        <v>5</v>
      </c>
      <c r="B1323" s="5" t="str">
        <f>HYPERLINK("http://www.broadinstitute.org/gsea/msigdb/cards/BIOCARTA_CHEMICAL_PATHWAY.html","BIOCARTA_CHEMICAL_PATHWAY")</f>
        <v>BIOCARTA_CHEMICAL_PATHWAY</v>
      </c>
      <c r="C1323" s="4">
        <v>18</v>
      </c>
      <c r="D1323" s="3">
        <v>1.5685089999999999</v>
      </c>
      <c r="E1323" s="1">
        <v>1.3377926E-2</v>
      </c>
      <c r="F1323" s="2">
        <v>4.5250665000000002E-2</v>
      </c>
    </row>
    <row r="1324" spans="1:6" x14ac:dyDescent="0.25">
      <c r="A1324" t="s">
        <v>10</v>
      </c>
      <c r="B1324" s="5" t="str">
        <f>HYPERLINK("http://www.broadinstitute.org/gsea/msigdb/cards/REACTOME_RAB_REGULATION_OF_TRAFFICKING.html","REACTOME_RAB_REGULATION_OF_TRAFFICKING")</f>
        <v>REACTOME_RAB_REGULATION_OF_TRAFFICKING</v>
      </c>
      <c r="C1324" s="4">
        <v>115</v>
      </c>
      <c r="D1324" s="3">
        <v>1.5681281</v>
      </c>
      <c r="E1324" s="1">
        <v>1.4925373E-3</v>
      </c>
      <c r="F1324" s="2">
        <v>4.5348458000000001E-2</v>
      </c>
    </row>
    <row r="1325" spans="1:6" x14ac:dyDescent="0.25">
      <c r="A1325" t="s">
        <v>6</v>
      </c>
      <c r="B1325" s="5" t="str">
        <f>HYPERLINK("http://www.broadinstitute.org/gsea/msigdb/cards/GOBP_GOLGI_TO_VACUOLE_TRANSPORT.html","GOBP_GOLGI_TO_VACUOLE_TRANSPORT")</f>
        <v>GOBP_GOLGI_TO_VACUOLE_TRANSPORT</v>
      </c>
      <c r="C1325" s="4">
        <v>21</v>
      </c>
      <c r="D1325" s="3">
        <v>1.5676867000000001</v>
      </c>
      <c r="E1325" s="1">
        <v>3.0508475E-2</v>
      </c>
      <c r="F1325" s="2">
        <v>4.5460015999999999E-2</v>
      </c>
    </row>
    <row r="1326" spans="1:6" x14ac:dyDescent="0.25">
      <c r="A1326" t="s">
        <v>7</v>
      </c>
      <c r="B1326" s="5" t="str">
        <f>HYPERLINK("http://www.broadinstitute.org/gsea/msigdb/cards/GOCC_LYTIC_VACUOLE_MEMBRANE.html","GOCC_LYTIC_VACUOLE_MEMBRANE")</f>
        <v>GOCC_LYTIC_VACUOLE_MEMBRANE</v>
      </c>
      <c r="C1326" s="4">
        <v>219</v>
      </c>
      <c r="D1326" s="3">
        <v>1.567377</v>
      </c>
      <c r="E1326" s="1">
        <v>2.7894003000000001E-3</v>
      </c>
      <c r="F1326" s="2">
        <v>4.5547650000000002E-2</v>
      </c>
    </row>
    <row r="1327" spans="1:6" x14ac:dyDescent="0.25">
      <c r="A1327" t="s">
        <v>10</v>
      </c>
      <c r="B1327" s="5" t="str">
        <f>HYPERLINK("http://www.broadinstitute.org/gsea/msigdb/cards/REACTOME_OPIOID_SIGNALLING.html","REACTOME_OPIOID_SIGNALLING")</f>
        <v>REACTOME_OPIOID_SIGNALLING</v>
      </c>
      <c r="C1327" s="4">
        <v>71</v>
      </c>
      <c r="D1327" s="3">
        <v>1.5670639</v>
      </c>
      <c r="E1327" s="1">
        <v>4.9261082999999999E-3</v>
      </c>
      <c r="F1327" s="2">
        <v>4.5635976000000002E-2</v>
      </c>
    </row>
    <row r="1328" spans="1:6" x14ac:dyDescent="0.25">
      <c r="A1328" t="s">
        <v>5</v>
      </c>
      <c r="B1328" s="5" t="str">
        <f>HYPERLINK("http://www.broadinstitute.org/gsea/msigdb/cards/BIOCARTA_KERATINOCYTE_PATHWAY.html","BIOCARTA_KERATINOCYTE_PATHWAY")</f>
        <v>BIOCARTA_KERATINOCYTE_PATHWAY</v>
      </c>
      <c r="C1328" s="4">
        <v>46</v>
      </c>
      <c r="D1328" s="3">
        <v>1.5670282</v>
      </c>
      <c r="E1328" s="1">
        <v>1.6447369E-2</v>
      </c>
      <c r="F1328" s="2">
        <v>4.5612976E-2</v>
      </c>
    </row>
    <row r="1329" spans="1:6" x14ac:dyDescent="0.25">
      <c r="A1329" t="s">
        <v>8</v>
      </c>
      <c r="B1329" s="5" t="str">
        <f>HYPERLINK("http://www.broadinstitute.org/gsea/msigdb/cards/GOMF_HYDROLASE_ACTIVITY_ACTING_ON_CARBON_NITROGEN_BUT_NOT_PEPTIDE_BONDS_IN_CYCLIC_AMIDINES.html","GOMF_HYDROLASE_ACTIVITY_ACTING_ON_CARBON_NITROGEN_BUT_NOT_PEPTIDE_BONDS_IN_CYCLIC_AMIDINES")</f>
        <v>GOMF_HYDROLASE_ACTIVITY_ACTING_ON_CARBON_NITROGEN_BUT_NOT_PEPTIDE_BONDS_IN_CYCLIC_AMIDINES</v>
      </c>
      <c r="C1329" s="4">
        <v>29</v>
      </c>
      <c r="D1329" s="3">
        <v>1.5664127000000001</v>
      </c>
      <c r="E1329" s="1">
        <v>2.3931623999999999E-2</v>
      </c>
      <c r="F1329" s="2">
        <v>4.5809750000000003E-2</v>
      </c>
    </row>
    <row r="1330" spans="1:6" x14ac:dyDescent="0.25">
      <c r="A1330" t="s">
        <v>6</v>
      </c>
      <c r="B1330" s="5" t="str">
        <f>HYPERLINK("http://www.broadinstitute.org/gsea/msigdb/cards/GOBP_TUMOR_NECROSIS_FACTOR_MEDIATED_SIGNALING_PATHWAY.html","GOBP_TUMOR_NECROSIS_FACTOR_MEDIATED_SIGNALING_PATHWAY")</f>
        <v>GOBP_TUMOR_NECROSIS_FACTOR_MEDIATED_SIGNALING_PATHWAY</v>
      </c>
      <c r="C1330" s="4">
        <v>80</v>
      </c>
      <c r="D1330" s="3">
        <v>1.5663229999999999</v>
      </c>
      <c r="E1330" s="1">
        <v>4.6439627000000004E-3</v>
      </c>
      <c r="F1330" s="2">
        <v>4.5807859999999999E-2</v>
      </c>
    </row>
    <row r="1331" spans="1:6" x14ac:dyDescent="0.25">
      <c r="A1331" t="s">
        <v>7</v>
      </c>
      <c r="B1331" s="5" t="str">
        <f>HYPERLINK("http://www.broadinstitute.org/gsea/msigdb/cards/GOCC_RECEPTOR_COMPLEX.html","GOCC_RECEPTOR_COMPLEX")</f>
        <v>GOCC_RECEPTOR_COMPLEX</v>
      </c>
      <c r="C1331" s="4">
        <v>396</v>
      </c>
      <c r="D1331" s="3">
        <v>1.5651248</v>
      </c>
      <c r="E1331" s="1">
        <v>0</v>
      </c>
      <c r="F1331" s="2">
        <v>4.6256904000000001E-2</v>
      </c>
    </row>
    <row r="1332" spans="1:6" x14ac:dyDescent="0.25">
      <c r="A1332" t="s">
        <v>6</v>
      </c>
      <c r="B1332" s="5" t="str">
        <f>HYPERLINK("http://www.broadinstitute.org/gsea/msigdb/cards/GOBP_RESPONSE_TO_OSMOTIC_STRESS.html","GOBP_RESPONSE_TO_OSMOTIC_STRESS")</f>
        <v>GOBP_RESPONSE_TO_OSMOTIC_STRESS</v>
      </c>
      <c r="C1332" s="4">
        <v>83</v>
      </c>
      <c r="D1332" s="3">
        <v>1.5650207</v>
      </c>
      <c r="E1332" s="1">
        <v>1.5673981E-3</v>
      </c>
      <c r="F1332" s="2">
        <v>4.6262077999999998E-2</v>
      </c>
    </row>
    <row r="1333" spans="1:6" x14ac:dyDescent="0.25">
      <c r="A1333" t="s">
        <v>6</v>
      </c>
      <c r="B1333" s="5" t="str">
        <f>HYPERLINK("http://www.broadinstitute.org/gsea/msigdb/cards/GOBP_PROTEIN_LOCALIZATION_TO_GOLGI_APPARATUS.html","GOBP_PROTEIN_LOCALIZATION_TO_GOLGI_APPARATUS")</f>
        <v>GOBP_PROTEIN_LOCALIZATION_TO_GOLGI_APPARATUS</v>
      </c>
      <c r="C1333" s="4">
        <v>30</v>
      </c>
      <c r="D1333" s="3">
        <v>1.5647359000000001</v>
      </c>
      <c r="E1333" s="1">
        <v>2.0967742000000001E-2</v>
      </c>
      <c r="F1333" s="2">
        <v>4.6342010000000003E-2</v>
      </c>
    </row>
    <row r="1334" spans="1:6" x14ac:dyDescent="0.25">
      <c r="A1334" t="s">
        <v>8</v>
      </c>
      <c r="B1334" s="5" t="str">
        <f>HYPERLINK("http://www.broadinstitute.org/gsea/msigdb/cards/GOMF_PHOSPHATIDYLINOSITOL_4_5_BISPHOSPHATE_BINDING.html","GOMF_PHOSPHATIDYLINOSITOL_4_5_BISPHOSPHATE_BINDING")</f>
        <v>GOMF_PHOSPHATIDYLINOSITOL_4_5_BISPHOSPHATE_BINDING</v>
      </c>
      <c r="C1334" s="4">
        <v>93</v>
      </c>
      <c r="D1334" s="3">
        <v>1.5645912</v>
      </c>
      <c r="E1334" s="1">
        <v>4.5385779999999997E-3</v>
      </c>
      <c r="F1334" s="2">
        <v>4.6365139999999999E-2</v>
      </c>
    </row>
    <row r="1335" spans="1:6" x14ac:dyDescent="0.25">
      <c r="A1335" t="s">
        <v>10</v>
      </c>
      <c r="B1335" s="5" t="str">
        <f>HYPERLINK("http://www.broadinstitute.org/gsea/msigdb/cards/REACTOME_ERK_MAPK_TARGETS.html","REACTOME_ERK_MAPK_TARGETS")</f>
        <v>REACTOME_ERK_MAPK_TARGETS</v>
      </c>
      <c r="C1335" s="4">
        <v>19</v>
      </c>
      <c r="D1335" s="3">
        <v>1.5644556999999999</v>
      </c>
      <c r="E1335" s="1">
        <v>2.1238937999999999E-2</v>
      </c>
      <c r="F1335" s="2">
        <v>4.6378259999999998E-2</v>
      </c>
    </row>
    <row r="1336" spans="1:6" x14ac:dyDescent="0.25">
      <c r="A1336" t="s">
        <v>7</v>
      </c>
      <c r="B1336" s="5" t="str">
        <f>HYPERLINK("http://www.broadinstitute.org/gsea/msigdb/cards/GOCC_FILOPODIUM_MEMBRANE.html","GOCC_FILOPODIUM_MEMBRANE")</f>
        <v>GOCC_FILOPODIUM_MEMBRANE</v>
      </c>
      <c r="C1336" s="4">
        <v>17</v>
      </c>
      <c r="D1336" s="3">
        <v>1.5637337</v>
      </c>
      <c r="E1336" s="1">
        <v>3.2815200000000003E-2</v>
      </c>
      <c r="F1336" s="2">
        <v>4.6639983000000003E-2</v>
      </c>
    </row>
    <row r="1337" spans="1:6" x14ac:dyDescent="0.25">
      <c r="A1337" t="s">
        <v>6</v>
      </c>
      <c r="B1337" s="5" t="str">
        <f>HYPERLINK("http://www.broadinstitute.org/gsea/msigdb/cards/GOBP_SMOOTH_MUSCLE_CONTRACTION.html","GOBP_SMOOTH_MUSCLE_CONTRACTION")</f>
        <v>GOBP_SMOOTH_MUSCLE_CONTRACTION</v>
      </c>
      <c r="C1337" s="4">
        <v>118</v>
      </c>
      <c r="D1337" s="3">
        <v>1.5634840999999999</v>
      </c>
      <c r="E1337" s="1">
        <v>4.5523522E-3</v>
      </c>
      <c r="F1337" s="2">
        <v>4.6709741999999999E-2</v>
      </c>
    </row>
    <row r="1338" spans="1:6" x14ac:dyDescent="0.25">
      <c r="A1338" t="s">
        <v>6</v>
      </c>
      <c r="B1338" s="5" t="str">
        <f>HYPERLINK("http://www.broadinstitute.org/gsea/msigdb/cards/GOBP_ENDODERM_FORMATION.html","GOBP_ENDODERM_FORMATION")</f>
        <v>GOBP_ENDODERM_FORMATION</v>
      </c>
      <c r="C1338" s="4">
        <v>41</v>
      </c>
      <c r="D1338" s="3">
        <v>1.5626545999999999</v>
      </c>
      <c r="E1338" s="1">
        <v>1.9704433E-2</v>
      </c>
      <c r="F1338" s="2">
        <v>4.7008224000000001E-2</v>
      </c>
    </row>
    <row r="1339" spans="1:6" x14ac:dyDescent="0.25">
      <c r="A1339" t="s">
        <v>8</v>
      </c>
      <c r="B1339" s="5" t="str">
        <f>HYPERLINK("http://www.broadinstitute.org/gsea/msigdb/cards/GOMF_PHOSPHOLIPID_TRANSPORTER_ACTIVITY.html","GOMF_PHOSPHOLIPID_TRANSPORTER_ACTIVITY")</f>
        <v>GOMF_PHOSPHOLIPID_TRANSPORTER_ACTIVITY</v>
      </c>
      <c r="C1339" s="4">
        <v>64</v>
      </c>
      <c r="D1339" s="3">
        <v>1.5624936</v>
      </c>
      <c r="E1339" s="1">
        <v>6.4308680000000002E-3</v>
      </c>
      <c r="F1339" s="2">
        <v>4.7033887000000003E-2</v>
      </c>
    </row>
    <row r="1340" spans="1:6" x14ac:dyDescent="0.25">
      <c r="A1340" t="s">
        <v>6</v>
      </c>
      <c r="B1340" s="5" t="str">
        <f>HYPERLINK("http://www.broadinstitute.org/gsea/msigdb/cards/GOBP_REGULATION_OF_GRANULOCYTE_DIFFERENTIATION.html","GOBP_REGULATION_OF_GRANULOCYTE_DIFFERENTIATION")</f>
        <v>GOBP_REGULATION_OF_GRANULOCYTE_DIFFERENTIATION</v>
      </c>
      <c r="C1340" s="4">
        <v>20</v>
      </c>
      <c r="D1340" s="3">
        <v>1.5621996</v>
      </c>
      <c r="E1340" s="1">
        <v>1.6474465000000001E-2</v>
      </c>
      <c r="F1340" s="2">
        <v>4.7119420000000002E-2</v>
      </c>
    </row>
    <row r="1341" spans="1:6" x14ac:dyDescent="0.25">
      <c r="A1341" t="s">
        <v>8</v>
      </c>
      <c r="B1341" s="5" t="str">
        <f>HYPERLINK("http://www.broadinstitute.org/gsea/msigdb/cards/GOMF_TUMOR_NECROSIS_FACTOR_RECEPTOR_SUPERFAMILY_BINDING.html","GOMF_TUMOR_NECROSIS_FACTOR_RECEPTOR_SUPERFAMILY_BINDING")</f>
        <v>GOMF_TUMOR_NECROSIS_FACTOR_RECEPTOR_SUPERFAMILY_BINDING</v>
      </c>
      <c r="C1341" s="4">
        <v>48</v>
      </c>
      <c r="D1341" s="3">
        <v>1.5620432</v>
      </c>
      <c r="E1341" s="1">
        <v>1.4469453E-2</v>
      </c>
      <c r="F1341" s="2">
        <v>4.7159523000000002E-2</v>
      </c>
    </row>
    <row r="1342" spans="1:6" x14ac:dyDescent="0.25">
      <c r="A1342" t="s">
        <v>6</v>
      </c>
      <c r="B1342" s="5" t="str">
        <f>HYPERLINK("http://www.broadinstitute.org/gsea/msigdb/cards/GOBP_GERMINAL_CENTER_FORMATION.html","GOBP_GERMINAL_CENTER_FORMATION")</f>
        <v>GOBP_GERMINAL_CENTER_FORMATION</v>
      </c>
      <c r="C1342" s="4">
        <v>16</v>
      </c>
      <c r="D1342" s="3">
        <v>1.5609592000000001</v>
      </c>
      <c r="E1342" s="1">
        <v>2.8286189E-2</v>
      </c>
      <c r="F1342" s="2">
        <v>4.7557380000000003E-2</v>
      </c>
    </row>
    <row r="1343" spans="1:6" x14ac:dyDescent="0.25">
      <c r="A1343" t="s">
        <v>6</v>
      </c>
      <c r="B1343" s="5" t="str">
        <f>HYPERLINK("http://www.broadinstitute.org/gsea/msigdb/cards/GOBP_PROTEIN_LOCALIZATION_TO_LYSOSOME.html","GOBP_PROTEIN_LOCALIZATION_TO_LYSOSOME")</f>
        <v>GOBP_PROTEIN_LOCALIZATION_TO_LYSOSOME</v>
      </c>
      <c r="C1343" s="4">
        <v>55</v>
      </c>
      <c r="D1343" s="3">
        <v>1.5608599000000001</v>
      </c>
      <c r="E1343" s="1">
        <v>1.4634146000000001E-2</v>
      </c>
      <c r="F1343" s="2">
        <v>4.7555069999999998E-2</v>
      </c>
    </row>
    <row r="1344" spans="1:6" x14ac:dyDescent="0.25">
      <c r="A1344" t="s">
        <v>6</v>
      </c>
      <c r="B1344" s="5" t="str">
        <f>HYPERLINK("http://www.broadinstitute.org/gsea/msigdb/cards/GOBP_RESPONSE_TO_UNFOLDED_PROTEIN.html","GOBP_RESPONSE_TO_UNFOLDED_PROTEIN")</f>
        <v>GOBP_RESPONSE_TO_UNFOLDED_PROTEIN</v>
      </c>
      <c r="C1344" s="4">
        <v>109</v>
      </c>
      <c r="D1344" s="3">
        <v>1.5598341</v>
      </c>
      <c r="E1344" s="1">
        <v>4.4910180000000003E-3</v>
      </c>
      <c r="F1344" s="2">
        <v>4.7940567000000003E-2</v>
      </c>
    </row>
    <row r="1345" spans="1:6" x14ac:dyDescent="0.25">
      <c r="A1345" t="s">
        <v>6</v>
      </c>
      <c r="B1345" s="5" t="str">
        <f>HYPERLINK("http://www.broadinstitute.org/gsea/msigdb/cards/GOBP_CD8_POSITIVE_ALPHA_BETA_T_CELL_DIFFERENTIATION.html","GOBP_CD8_POSITIVE_ALPHA_BETA_T_CELL_DIFFERENTIATION")</f>
        <v>GOBP_CD8_POSITIVE_ALPHA_BETA_T_CELL_DIFFERENTIATION</v>
      </c>
      <c r="C1345" s="4">
        <v>22</v>
      </c>
      <c r="D1345" s="3">
        <v>1.5594965999999999</v>
      </c>
      <c r="E1345" s="1">
        <v>2.4647888E-2</v>
      </c>
      <c r="F1345" s="2">
        <v>4.8029084E-2</v>
      </c>
    </row>
    <row r="1346" spans="1:6" x14ac:dyDescent="0.25">
      <c r="A1346" t="s">
        <v>6</v>
      </c>
      <c r="B1346" s="5" t="str">
        <f>HYPERLINK("http://www.broadinstitute.org/gsea/msigdb/cards/GOBP_POSITIVE_REGULATION_OF_TYPE_I_INTERFERON_MEDIATED_SIGNALING_PATHWAY.html","GOBP_POSITIVE_REGULATION_OF_TYPE_I_INTERFERON_MEDIATED_SIGNALING_PATHWAY")</f>
        <v>GOBP_POSITIVE_REGULATION_OF_TYPE_I_INTERFERON_MEDIATED_SIGNALING_PATHWAY</v>
      </c>
      <c r="C1346" s="4">
        <v>21</v>
      </c>
      <c r="D1346" s="3">
        <v>1.5594403999999999</v>
      </c>
      <c r="E1346" s="1">
        <v>3.2423210000000001E-2</v>
      </c>
      <c r="F1346" s="2">
        <v>4.8016733999999998E-2</v>
      </c>
    </row>
    <row r="1347" spans="1:6" x14ac:dyDescent="0.25">
      <c r="A1347" t="s">
        <v>6</v>
      </c>
      <c r="B1347" s="5" t="str">
        <f>HYPERLINK("http://www.broadinstitute.org/gsea/msigdb/cards/GOBP_COPII_COATED_VESICLE_BUDDING.html","GOBP_COPII_COATED_VESICLE_BUDDING")</f>
        <v>GOBP_COPII_COATED_VESICLE_BUDDING</v>
      </c>
      <c r="C1347" s="4">
        <v>36</v>
      </c>
      <c r="D1347" s="3">
        <v>1.5586869999999999</v>
      </c>
      <c r="E1347" s="1">
        <v>1.2924071000000001E-2</v>
      </c>
      <c r="F1347" s="2">
        <v>4.8274360000000002E-2</v>
      </c>
    </row>
    <row r="1348" spans="1:6" x14ac:dyDescent="0.25">
      <c r="A1348" t="s">
        <v>6</v>
      </c>
      <c r="B1348" s="5" t="str">
        <f>HYPERLINK("http://www.broadinstitute.org/gsea/msigdb/cards/GOBP_AMYLOID_PRECURSOR_PROTEIN_METABOLIC_PROCESS.html","GOBP_AMYLOID_PRECURSOR_PROTEIN_METABOLIC_PROCESS")</f>
        <v>GOBP_AMYLOID_PRECURSOR_PROTEIN_METABOLIC_PROCESS</v>
      </c>
      <c r="C1348" s="4">
        <v>76</v>
      </c>
      <c r="D1348" s="3">
        <v>1.5578382</v>
      </c>
      <c r="E1348" s="1">
        <v>3.2258064E-3</v>
      </c>
      <c r="F1348" s="2">
        <v>4.8611317000000001E-2</v>
      </c>
    </row>
    <row r="1349" spans="1:6" x14ac:dyDescent="0.25">
      <c r="A1349" t="s">
        <v>6</v>
      </c>
      <c r="B1349" s="5" t="str">
        <f>HYPERLINK("http://www.broadinstitute.org/gsea/msigdb/cards/GOBP_REGULATION_OF_CELLULAR_RESPONSE_TO_GROWTH_FACTOR_STIMULUS.html","GOBP_REGULATION_OF_CELLULAR_RESPONSE_TO_GROWTH_FACTOR_STIMULUS")</f>
        <v>GOBP_REGULATION_OF_CELLULAR_RESPONSE_TO_GROWTH_FACTOR_STIMULUS</v>
      </c>
      <c r="C1349" s="4">
        <v>320</v>
      </c>
      <c r="D1349" s="3">
        <v>1.5575709</v>
      </c>
      <c r="E1349" s="1">
        <v>0</v>
      </c>
      <c r="F1349" s="2">
        <v>4.8683959999999998E-2</v>
      </c>
    </row>
    <row r="1350" spans="1:6" x14ac:dyDescent="0.25">
      <c r="A1350" t="s">
        <v>6</v>
      </c>
      <c r="B1350" s="5" t="str">
        <f>HYPERLINK("http://www.broadinstitute.org/gsea/msigdb/cards/GOBP_REGULATION_OF_ACTIN_FILAMENT_ORGANIZATION.html","GOBP_REGULATION_OF_ACTIN_FILAMENT_ORGANIZATION")</f>
        <v>GOBP_REGULATION_OF_ACTIN_FILAMENT_ORGANIZATION</v>
      </c>
      <c r="C1350" s="4">
        <v>271</v>
      </c>
      <c r="D1350" s="3">
        <v>1.5575197999999999</v>
      </c>
      <c r="E1350" s="1">
        <v>0</v>
      </c>
      <c r="F1350" s="2">
        <v>4.8679184E-2</v>
      </c>
    </row>
    <row r="1351" spans="1:6" x14ac:dyDescent="0.25">
      <c r="A1351" t="s">
        <v>6</v>
      </c>
      <c r="B1351" s="5" t="str">
        <f>HYPERLINK("http://www.broadinstitute.org/gsea/msigdb/cards/GOBP_REGULATION_OF_ACTIN_FILAMENT_LENGTH.html","GOBP_REGULATION_OF_ACTIN_FILAMENT_LENGTH")</f>
        <v>GOBP_REGULATION_OF_ACTIN_FILAMENT_LENGTH</v>
      </c>
      <c r="C1351" s="4">
        <v>163</v>
      </c>
      <c r="D1351" s="3">
        <v>1.5575038999999999</v>
      </c>
      <c r="E1351" s="1">
        <v>0</v>
      </c>
      <c r="F1351" s="2">
        <v>4.8647095000000001E-2</v>
      </c>
    </row>
    <row r="1352" spans="1:6" x14ac:dyDescent="0.25">
      <c r="A1352" t="s">
        <v>6</v>
      </c>
      <c r="B1352" s="5" t="str">
        <f>HYPERLINK("http://www.broadinstitute.org/gsea/msigdb/cards/GOBP_VESICLE_TARGETING_TO_FROM_OR_WITHIN_GOLGI.html","GOBP_VESICLE_TARGETING_TO_FROM_OR_WITHIN_GOLGI")</f>
        <v>GOBP_VESICLE_TARGETING_TO_FROM_OR_WITHIN_GOLGI</v>
      </c>
      <c r="C1352" s="4">
        <v>29</v>
      </c>
      <c r="D1352" s="3">
        <v>1.5567343</v>
      </c>
      <c r="E1352" s="1">
        <v>2.8145694999999998E-2</v>
      </c>
      <c r="F1352" s="2">
        <v>4.8922559999999997E-2</v>
      </c>
    </row>
    <row r="1353" spans="1:6" x14ac:dyDescent="0.25">
      <c r="A1353" t="s">
        <v>6</v>
      </c>
      <c r="B1353" s="5" t="str">
        <f>HYPERLINK("http://www.broadinstitute.org/gsea/msigdb/cards/GOBP_RIBONUCLEOSIDE_MONOPHOSPHATE_BIOSYNTHETIC_PROCESS.html","GOBP_RIBONUCLEOSIDE_MONOPHOSPHATE_BIOSYNTHETIC_PROCESS")</f>
        <v>GOBP_RIBONUCLEOSIDE_MONOPHOSPHATE_BIOSYNTHETIC_PROCESS</v>
      </c>
      <c r="C1353" s="4">
        <v>33</v>
      </c>
      <c r="D1353" s="3">
        <v>1.5563855</v>
      </c>
      <c r="E1353" s="1">
        <v>2.1594684999999999E-2</v>
      </c>
      <c r="F1353" s="2">
        <v>4.9032315999999999E-2</v>
      </c>
    </row>
    <row r="1354" spans="1:6" x14ac:dyDescent="0.25">
      <c r="A1354" t="s">
        <v>6</v>
      </c>
      <c r="B1354" s="5" t="str">
        <f>HYPERLINK("http://www.broadinstitute.org/gsea/msigdb/cards/GOBP_REGULATION_OF_ENDOPLASMIC_RETICULUM_STRESS_INDUCED_INTRINSIC_APOPTOTIC_SIGNALING_PATHWAY.html","GOBP_REGULATION_OF_ENDOPLASMIC_RETICULUM_STRESS_INDUCED_INTRINSIC_APOPTOTIC_SIGNALING_PATHWAY")</f>
        <v>GOBP_REGULATION_OF_ENDOPLASMIC_RETICULUM_STRESS_INDUCED_INTRINSIC_APOPTOTIC_SIGNALING_PATHWAY</v>
      </c>
      <c r="C1354" s="4">
        <v>31</v>
      </c>
      <c r="D1354" s="3">
        <v>1.5558113</v>
      </c>
      <c r="E1354" s="1">
        <v>1.1986301E-2</v>
      </c>
      <c r="F1354" s="2">
        <v>4.9256229999999998E-2</v>
      </c>
    </row>
    <row r="1355" spans="1:6" x14ac:dyDescent="0.25">
      <c r="A1355" t="s">
        <v>6</v>
      </c>
      <c r="B1355" s="5" t="str">
        <f>HYPERLINK("http://www.broadinstitute.org/gsea/msigdb/cards/GOBP_TOLL_LIKE_RECEPTOR_9_SIGNALING_PATHWAY.html","GOBP_TOLL_LIKE_RECEPTOR_9_SIGNALING_PATHWAY")</f>
        <v>GOBP_TOLL_LIKE_RECEPTOR_9_SIGNALING_PATHWAY</v>
      </c>
      <c r="C1355" s="4">
        <v>16</v>
      </c>
      <c r="D1355" s="3">
        <v>1.5556022</v>
      </c>
      <c r="E1355" s="1">
        <v>3.5906643000000002E-2</v>
      </c>
      <c r="F1355" s="2">
        <v>4.9306385000000001E-2</v>
      </c>
    </row>
    <row r="1356" spans="1:6" x14ac:dyDescent="0.25">
      <c r="A1356" t="s">
        <v>6</v>
      </c>
      <c r="B1356" s="5" t="str">
        <f>HYPERLINK("http://www.broadinstitute.org/gsea/msigdb/cards/GOBP_NEGATIVE_REGULATION_OF_INTERLEUKIN_1_PRODUCTION.html","GOBP_NEGATIVE_REGULATION_OF_INTERLEUKIN_1_PRODUCTION")</f>
        <v>GOBP_NEGATIVE_REGULATION_OF_INTERLEUKIN_1_PRODUCTION</v>
      </c>
      <c r="C1356" s="4">
        <v>38</v>
      </c>
      <c r="D1356" s="3">
        <v>1.5555378</v>
      </c>
      <c r="E1356" s="1">
        <v>2.4271844000000001E-2</v>
      </c>
      <c r="F1356" s="2">
        <v>4.9297189999999998E-2</v>
      </c>
    </row>
    <row r="1357" spans="1:6" x14ac:dyDescent="0.25">
      <c r="A1357" t="s">
        <v>6</v>
      </c>
      <c r="B1357" s="5" t="str">
        <f>HYPERLINK("http://www.broadinstitute.org/gsea/msigdb/cards/GOBP_PURINE_RIBONUCLEOTIDE_CATABOLIC_PROCESS.html","GOBP_PURINE_RIBONUCLEOTIDE_CATABOLIC_PROCESS")</f>
        <v>GOBP_PURINE_RIBONUCLEOTIDE_CATABOLIC_PROCESS</v>
      </c>
      <c r="C1357" s="4">
        <v>38</v>
      </c>
      <c r="D1357" s="3">
        <v>1.5553745999999999</v>
      </c>
      <c r="E1357" s="1">
        <v>1.2006861000000001E-2</v>
      </c>
      <c r="F1357" s="2">
        <v>4.9330458000000001E-2</v>
      </c>
    </row>
    <row r="1358" spans="1:6" x14ac:dyDescent="0.25">
      <c r="A1358" t="s">
        <v>6</v>
      </c>
      <c r="B1358" s="5" t="str">
        <f>HYPERLINK("http://www.broadinstitute.org/gsea/msigdb/cards/GOBP_NEGATIVE_REGULATION_OF_INTERLEUKIN_1_BETA_PRODUCTION.html","GOBP_NEGATIVE_REGULATION_OF_INTERLEUKIN_1_BETA_PRODUCTION")</f>
        <v>GOBP_NEGATIVE_REGULATION_OF_INTERLEUKIN_1_BETA_PRODUCTION</v>
      </c>
      <c r="C1358" s="4">
        <v>31</v>
      </c>
      <c r="D1358" s="3">
        <v>1.5548668000000001</v>
      </c>
      <c r="E1358" s="1">
        <v>1.6666667999999999E-2</v>
      </c>
      <c r="F1358" s="2">
        <v>4.9519665999999997E-2</v>
      </c>
    </row>
    <row r="1359" spans="1:6" x14ac:dyDescent="0.25">
      <c r="A1359" t="s">
        <v>6</v>
      </c>
      <c r="B1359" s="5" t="str">
        <f>HYPERLINK("http://www.broadinstitute.org/gsea/msigdb/cards/GOBP_PROTEIN_LOCALIZATION_TO_ENDOPLASMIC_RETICULUM.html","GOBP_PROTEIN_LOCALIZATION_TO_ENDOPLASMIC_RETICULUM")</f>
        <v>GOBP_PROTEIN_LOCALIZATION_TO_ENDOPLASMIC_RETICULUM</v>
      </c>
      <c r="C1359" s="4">
        <v>75</v>
      </c>
      <c r="D1359" s="3">
        <v>1.5542625999999999</v>
      </c>
      <c r="E1359" s="1">
        <v>5.9701492999999998E-3</v>
      </c>
      <c r="F1359" s="2">
        <v>4.9740329999999999E-2</v>
      </c>
    </row>
    <row r="1360" spans="1:6" x14ac:dyDescent="0.25">
      <c r="A1360" t="s">
        <v>6</v>
      </c>
      <c r="B1360" s="5" t="str">
        <f>HYPERLINK("http://www.broadinstitute.org/gsea/msigdb/cards/GOBP_NUCLEOSIDE_PHOSPHATE_CATABOLIC_PROCESS.html","GOBP_NUCLEOSIDE_PHOSPHATE_CATABOLIC_PROCESS")</f>
        <v>GOBP_NUCLEOSIDE_PHOSPHATE_CATABOLIC_PROCESS</v>
      </c>
      <c r="C1360" s="4">
        <v>75</v>
      </c>
      <c r="D1360" s="3">
        <v>1.5541083</v>
      </c>
      <c r="E1360" s="1">
        <v>4.6874999999999998E-3</v>
      </c>
      <c r="F1360" s="2">
        <v>4.9762815000000002E-2</v>
      </c>
    </row>
    <row r="1361" spans="1:6" x14ac:dyDescent="0.25">
      <c r="A1361" t="s">
        <v>7</v>
      </c>
      <c r="B1361" s="5" t="str">
        <f>HYPERLINK("http://www.broadinstitute.org/gsea/msigdb/cards/GOCC_PROTEIN_LIPID_COMPLEX.html","GOCC_PROTEIN_LIPID_COMPLEX")</f>
        <v>GOCC_PROTEIN_LIPID_COMPLEX</v>
      </c>
      <c r="C1361" s="4">
        <v>45</v>
      </c>
      <c r="D1361" s="3">
        <v>1.552783</v>
      </c>
      <c r="E1361" s="1">
        <v>1.7628206E-2</v>
      </c>
      <c r="F1361" s="2">
        <v>5.0330850000000003E-2</v>
      </c>
    </row>
    <row r="1362" spans="1:6" x14ac:dyDescent="0.25">
      <c r="A1362" t="s">
        <v>6</v>
      </c>
      <c r="B1362" s="5" t="str">
        <f>HYPERLINK("http://www.broadinstitute.org/gsea/msigdb/cards/GOBP_REGULATION_OF_PROTEIN_LOCALIZATION_TO_NUCLEUS.html","GOBP_REGULATION_OF_PROTEIN_LOCALIZATION_TO_NUCLEUS")</f>
        <v>GOBP_REGULATION_OF_PROTEIN_LOCALIZATION_TO_NUCLEUS</v>
      </c>
      <c r="C1362" s="4">
        <v>159</v>
      </c>
      <c r="D1362" s="3">
        <v>1.5526439000000001</v>
      </c>
      <c r="E1362" s="1">
        <v>0</v>
      </c>
      <c r="F1362" s="2">
        <v>5.0370316999999998E-2</v>
      </c>
    </row>
    <row r="1363" spans="1:6" x14ac:dyDescent="0.25">
      <c r="A1363" t="s">
        <v>6</v>
      </c>
      <c r="B1363" s="5" t="str">
        <f>HYPERLINK("http://www.broadinstitute.org/gsea/msigdb/cards/GOBP_REGULATION_OF_LYMPHOCYTE_DIFFERENTIATION.html","GOBP_REGULATION_OF_LYMPHOCYTE_DIFFERENTIATION")</f>
        <v>GOBP_REGULATION_OF_LYMPHOCYTE_DIFFERENTIATION</v>
      </c>
      <c r="C1363" s="4">
        <v>217</v>
      </c>
      <c r="D1363" s="3">
        <v>1.5526005</v>
      </c>
      <c r="E1363" s="1">
        <v>0</v>
      </c>
      <c r="F1363" s="2">
        <v>5.0343649999999997E-2</v>
      </c>
    </row>
    <row r="1364" spans="1:6" x14ac:dyDescent="0.25">
      <c r="A1364" t="s">
        <v>6</v>
      </c>
      <c r="B1364" s="5" t="str">
        <f>HYPERLINK("http://www.broadinstitute.org/gsea/msigdb/cards/GOBP_POSITIVE_REGULATION_OF_ALCOHOL_BIOSYNTHETIC_PROCESS.html","GOBP_POSITIVE_REGULATION_OF_ALCOHOL_BIOSYNTHETIC_PROCESS")</f>
        <v>GOBP_POSITIVE_REGULATION_OF_ALCOHOL_BIOSYNTHETIC_PROCESS</v>
      </c>
      <c r="C1364" s="4">
        <v>29</v>
      </c>
      <c r="D1364" s="3">
        <v>1.5523165000000001</v>
      </c>
      <c r="E1364" s="1">
        <v>1.3536378999999999E-2</v>
      </c>
      <c r="F1364" s="2">
        <v>5.0410933999999998E-2</v>
      </c>
    </row>
    <row r="1365" spans="1:6" x14ac:dyDescent="0.25">
      <c r="A1365" t="s">
        <v>6</v>
      </c>
      <c r="B1365" s="5" t="str">
        <f>HYPERLINK("http://www.broadinstitute.org/gsea/msigdb/cards/GOBP_REGULATION_OF_ALCOHOL_BIOSYNTHETIC_PROCESS.html","GOBP_REGULATION_OF_ALCOHOL_BIOSYNTHETIC_PROCESS")</f>
        <v>GOBP_REGULATION_OF_ALCOHOL_BIOSYNTHETIC_PROCESS</v>
      </c>
      <c r="C1365" s="4">
        <v>52</v>
      </c>
      <c r="D1365" s="3">
        <v>1.5523144</v>
      </c>
      <c r="E1365" s="1">
        <v>1.1686143E-2</v>
      </c>
      <c r="F1365" s="2">
        <v>5.0375503000000002E-2</v>
      </c>
    </row>
    <row r="1366" spans="1:6" x14ac:dyDescent="0.25">
      <c r="A1366" t="s">
        <v>7</v>
      </c>
      <c r="B1366" s="5" t="str">
        <f>HYPERLINK("http://www.broadinstitute.org/gsea/msigdb/cards/GOCC_CYTOPLASMIC_SIDE_OF_PLASMA_MEMBRANE.html","GOCC_CYTOPLASMIC_SIDE_OF_PLASMA_MEMBRANE")</f>
        <v>GOCC_CYTOPLASMIC_SIDE_OF_PLASMA_MEMBRANE</v>
      </c>
      <c r="C1366" s="4">
        <v>177</v>
      </c>
      <c r="D1366" s="3">
        <v>1.5521961</v>
      </c>
      <c r="E1366" s="1">
        <v>0</v>
      </c>
      <c r="F1366" s="2">
        <v>5.0406903000000003E-2</v>
      </c>
    </row>
    <row r="1367" spans="1:6" x14ac:dyDescent="0.25">
      <c r="A1367" t="s">
        <v>6</v>
      </c>
      <c r="B1367" s="5" t="str">
        <f>HYPERLINK("http://www.broadinstitute.org/gsea/msigdb/cards/GOBP_CELLULAR_RESPONSE_TO_DEXAMETHASONE_STIMULUS.html","GOBP_CELLULAR_RESPONSE_TO_DEXAMETHASONE_STIMULUS")</f>
        <v>GOBP_CELLULAR_RESPONSE_TO_DEXAMETHASONE_STIMULUS</v>
      </c>
      <c r="C1367" s="4">
        <v>23</v>
      </c>
      <c r="D1367" s="3">
        <v>1.5517677000000001</v>
      </c>
      <c r="E1367" s="1">
        <v>2.5276462E-2</v>
      </c>
      <c r="F1367" s="2">
        <v>5.0543102999999999E-2</v>
      </c>
    </row>
    <row r="1368" spans="1:6" x14ac:dyDescent="0.25">
      <c r="A1368" t="s">
        <v>6</v>
      </c>
      <c r="B1368" s="5" t="str">
        <f>HYPERLINK("http://www.broadinstitute.org/gsea/msigdb/cards/GOBP_NUCLEOBASE_METABOLIC_PROCESS.html","GOBP_NUCLEOBASE_METABOLIC_PROCESS")</f>
        <v>GOBP_NUCLEOBASE_METABOLIC_PROCESS</v>
      </c>
      <c r="C1368" s="4">
        <v>40</v>
      </c>
      <c r="D1368" s="3">
        <v>1.5516425</v>
      </c>
      <c r="E1368" s="1">
        <v>1.4802632E-2</v>
      </c>
      <c r="F1368" s="2">
        <v>5.0560056999999999E-2</v>
      </c>
    </row>
    <row r="1369" spans="1:6" x14ac:dyDescent="0.25">
      <c r="A1369" t="s">
        <v>6</v>
      </c>
      <c r="B1369" s="5" t="str">
        <f>HYPERLINK("http://www.broadinstitute.org/gsea/msigdb/cards/GOBP_NEGATIVE_REGULATION_OF_DEFENSE_RESPONSE_TO_VIRUS.html","GOBP_NEGATIVE_REGULATION_OF_DEFENSE_RESPONSE_TO_VIRUS")</f>
        <v>GOBP_NEGATIVE_REGULATION_OF_DEFENSE_RESPONSE_TO_VIRUS</v>
      </c>
      <c r="C1369" s="4">
        <v>49</v>
      </c>
      <c r="D1369" s="3">
        <v>1.5514702</v>
      </c>
      <c r="E1369" s="1">
        <v>1.2718601E-2</v>
      </c>
      <c r="F1369" s="2">
        <v>5.0598410000000003E-2</v>
      </c>
    </row>
    <row r="1370" spans="1:6" x14ac:dyDescent="0.25">
      <c r="A1370" t="s">
        <v>6</v>
      </c>
      <c r="B1370" s="5" t="str">
        <f>HYPERLINK("http://www.broadinstitute.org/gsea/msigdb/cards/GOBP_POSITIVE_REGULATION_OF_COAGULATION.html","GOBP_POSITIVE_REGULATION_OF_COAGULATION")</f>
        <v>GOBP_POSITIVE_REGULATION_OF_COAGULATION</v>
      </c>
      <c r="C1370" s="4">
        <v>29</v>
      </c>
      <c r="D1370" s="3">
        <v>1.5511979</v>
      </c>
      <c r="E1370" s="1">
        <v>3.156146E-2</v>
      </c>
      <c r="F1370" s="2">
        <v>5.0688289999999997E-2</v>
      </c>
    </row>
    <row r="1371" spans="1:6" x14ac:dyDescent="0.25">
      <c r="A1371" t="s">
        <v>6</v>
      </c>
      <c r="B1371" s="5" t="str">
        <f>HYPERLINK("http://www.broadinstitute.org/gsea/msigdb/cards/GOBP_URONIC_ACID_METABOLIC_PROCESS.html","GOBP_URONIC_ACID_METABOLIC_PROCESS")</f>
        <v>GOBP_URONIC_ACID_METABOLIC_PROCESS</v>
      </c>
      <c r="C1371" s="4">
        <v>15</v>
      </c>
      <c r="D1371" s="3">
        <v>1.5511975</v>
      </c>
      <c r="E1371" s="1">
        <v>3.9927404E-2</v>
      </c>
      <c r="F1371" s="2">
        <v>5.0651234000000003E-2</v>
      </c>
    </row>
    <row r="1372" spans="1:6" x14ac:dyDescent="0.25">
      <c r="A1372" t="s">
        <v>6</v>
      </c>
      <c r="B1372" s="5" t="str">
        <f>HYPERLINK("http://www.broadinstitute.org/gsea/msigdb/cards/GOBP_INTRINSIC_APOPTOTIC_SIGNALING_PATHWAY.html","GOBP_INTRINSIC_APOPTOTIC_SIGNALING_PATHWAY")</f>
        <v>GOBP_INTRINSIC_APOPTOTIC_SIGNALING_PATHWAY</v>
      </c>
      <c r="C1372" s="4">
        <v>323</v>
      </c>
      <c r="D1372" s="3">
        <v>1.5505758999999999</v>
      </c>
      <c r="E1372" s="1">
        <v>0</v>
      </c>
      <c r="F1372" s="2">
        <v>5.0894566000000002E-2</v>
      </c>
    </row>
    <row r="1373" spans="1:6" x14ac:dyDescent="0.25">
      <c r="A1373" t="s">
        <v>10</v>
      </c>
      <c r="B1373" s="5" t="str">
        <f>HYPERLINK("http://www.broadinstitute.org/gsea/msigdb/cards/REACTOME_CLATHRIN_MEDIATED_ENDOCYTOSIS.html","REACTOME_CLATHRIN_MEDIATED_ENDOCYTOSIS")</f>
        <v>REACTOME_CLATHRIN_MEDIATED_ENDOCYTOSIS</v>
      </c>
      <c r="C1373" s="4">
        <v>140</v>
      </c>
      <c r="D1373" s="3">
        <v>1.5497795000000001</v>
      </c>
      <c r="E1373" s="1">
        <v>1.4836795000000001E-3</v>
      </c>
      <c r="F1373" s="2">
        <v>5.1184005999999997E-2</v>
      </c>
    </row>
    <row r="1374" spans="1:6" x14ac:dyDescent="0.25">
      <c r="A1374" t="s">
        <v>8</v>
      </c>
      <c r="B1374" s="5" t="str">
        <f>HYPERLINK("http://www.broadinstitute.org/gsea/msigdb/cards/GOMF_HYDROLASE_ACTIVITY_HYDROLYZING_O_GLYCOSYL_COMPOUNDS.html","GOMF_HYDROLASE_ACTIVITY_HYDROLYZING_O_GLYCOSYL_COMPOUNDS")</f>
        <v>GOMF_HYDROLASE_ACTIVITY_HYDROLYZING_O_GLYCOSYL_COMPOUNDS</v>
      </c>
      <c r="C1374" s="4">
        <v>89</v>
      </c>
      <c r="D1374" s="3">
        <v>1.5491976000000001</v>
      </c>
      <c r="E1374" s="1">
        <v>1.5455950000000001E-3</v>
      </c>
      <c r="F1374" s="2">
        <v>5.1387004999999999E-2</v>
      </c>
    </row>
    <row r="1375" spans="1:6" x14ac:dyDescent="0.25">
      <c r="A1375" t="s">
        <v>6</v>
      </c>
      <c r="B1375" s="5" t="str">
        <f>HYPERLINK("http://www.broadinstitute.org/gsea/msigdb/cards/GOBP_REGULATION_OF_INTRINSIC_APOPTOTIC_SIGNALING_PATHWAY.html","GOBP_REGULATION_OF_INTRINSIC_APOPTOTIC_SIGNALING_PATHWAY")</f>
        <v>GOBP_REGULATION_OF_INTRINSIC_APOPTOTIC_SIGNALING_PATHWAY</v>
      </c>
      <c r="C1375" s="4">
        <v>191</v>
      </c>
      <c r="D1375" s="3">
        <v>1.5480784000000001</v>
      </c>
      <c r="E1375" s="1">
        <v>0</v>
      </c>
      <c r="F1375" s="2">
        <v>5.1805798E-2</v>
      </c>
    </row>
    <row r="1376" spans="1:6" x14ac:dyDescent="0.25">
      <c r="A1376" t="s">
        <v>6</v>
      </c>
      <c r="B1376" s="5" t="str">
        <f>HYPERLINK("http://www.broadinstitute.org/gsea/msigdb/cards/GOBP_GLOMERULAR_EPITHELIUM_DEVELOPMENT.html","GOBP_GLOMERULAR_EPITHELIUM_DEVELOPMENT")</f>
        <v>GOBP_GLOMERULAR_EPITHELIUM_DEVELOPMENT</v>
      </c>
      <c r="C1376" s="4">
        <v>18</v>
      </c>
      <c r="D1376" s="3">
        <v>1.5475531</v>
      </c>
      <c r="E1376" s="1">
        <v>3.7162161999999999E-2</v>
      </c>
      <c r="F1376" s="2">
        <v>5.1997333999999999E-2</v>
      </c>
    </row>
    <row r="1377" spans="1:6" x14ac:dyDescent="0.25">
      <c r="A1377" t="s">
        <v>6</v>
      </c>
      <c r="B1377" s="5" t="str">
        <f>HYPERLINK("http://www.broadinstitute.org/gsea/msigdb/cards/GOBP_INTRACELLULAR_STEROL_TRANSPORT.html","GOBP_INTRACELLULAR_STEROL_TRANSPORT")</f>
        <v>GOBP_INTRACELLULAR_STEROL_TRANSPORT</v>
      </c>
      <c r="C1377" s="4">
        <v>33</v>
      </c>
      <c r="D1377" s="3">
        <v>1.5473553</v>
      </c>
      <c r="E1377" s="1">
        <v>1.3722127000000001E-2</v>
      </c>
      <c r="F1377" s="2">
        <v>5.2043047000000002E-2</v>
      </c>
    </row>
    <row r="1378" spans="1:6" x14ac:dyDescent="0.25">
      <c r="A1378" t="s">
        <v>7</v>
      </c>
      <c r="B1378" s="5" t="str">
        <f>HYPERLINK("http://www.broadinstitute.org/gsea/msigdb/cards/GOCC_TRANS_GOLGI_NETWORK_TRANSPORT_VESICLE.html","GOCC_TRANS_GOLGI_NETWORK_TRANSPORT_VESICLE")</f>
        <v>GOCC_TRANS_GOLGI_NETWORK_TRANSPORT_VESICLE</v>
      </c>
      <c r="C1378" s="4">
        <v>36</v>
      </c>
      <c r="D1378" s="3">
        <v>1.5472238</v>
      </c>
      <c r="E1378" s="1">
        <v>3.0354130999999999E-2</v>
      </c>
      <c r="F1378" s="2">
        <v>5.2066434000000002E-2</v>
      </c>
    </row>
    <row r="1379" spans="1:6" x14ac:dyDescent="0.25">
      <c r="A1379" t="s">
        <v>10</v>
      </c>
      <c r="B1379" s="5" t="str">
        <f>HYPERLINK("http://www.broadinstitute.org/gsea/msigdb/cards/REACTOME_NEGATIVE_REGULATION_OF_MET_ACTIVITY.html","REACTOME_NEGATIVE_REGULATION_OF_MET_ACTIVITY")</f>
        <v>REACTOME_NEGATIVE_REGULATION_OF_MET_ACTIVITY</v>
      </c>
      <c r="C1379" s="4">
        <v>21</v>
      </c>
      <c r="D1379" s="3">
        <v>1.547029</v>
      </c>
      <c r="E1379" s="1">
        <v>2.6101142000000001E-2</v>
      </c>
      <c r="F1379" s="2">
        <v>5.2105773000000001E-2</v>
      </c>
    </row>
    <row r="1380" spans="1:6" x14ac:dyDescent="0.25">
      <c r="A1380" t="s">
        <v>6</v>
      </c>
      <c r="B1380" s="5" t="str">
        <f>HYPERLINK("http://www.broadinstitute.org/gsea/msigdb/cards/GOBP_HEMOGLOBIN_METABOLIC_PROCESS.html","GOBP_HEMOGLOBIN_METABOLIC_PROCESS")</f>
        <v>GOBP_HEMOGLOBIN_METABOLIC_PROCESS</v>
      </c>
      <c r="C1380" s="4">
        <v>21</v>
      </c>
      <c r="D1380" s="3">
        <v>1.5469394000000001</v>
      </c>
      <c r="E1380" s="1">
        <v>2.6978416000000002E-2</v>
      </c>
      <c r="F1380" s="2">
        <v>5.2114380000000002E-2</v>
      </c>
    </row>
    <row r="1381" spans="1:6" x14ac:dyDescent="0.25">
      <c r="A1381" t="s">
        <v>6</v>
      </c>
      <c r="B1381" s="5" t="str">
        <f>HYPERLINK("http://www.broadinstitute.org/gsea/msigdb/cards/GOBP_MACROAUTOPHAGY.html","GOBP_MACROAUTOPHAGY")</f>
        <v>GOBP_MACROAUTOPHAGY</v>
      </c>
      <c r="C1381" s="4">
        <v>265</v>
      </c>
      <c r="D1381" s="3">
        <v>1.5456810999999999</v>
      </c>
      <c r="E1381" s="1">
        <v>1.3477089000000001E-3</v>
      </c>
      <c r="F1381" s="2">
        <v>5.2626472000000001E-2</v>
      </c>
    </row>
    <row r="1382" spans="1:6" x14ac:dyDescent="0.25">
      <c r="A1382" t="s">
        <v>6</v>
      </c>
      <c r="B1382" s="5" t="str">
        <f>HYPERLINK("http://www.broadinstitute.org/gsea/msigdb/cards/GOBP_POSITIVE_REGULATION_OF_TRANSCRIPTION_FROM_RNA_POLYMERASE_II_PROMOTER_IN_RESPONSE_TO_STRESS.html","GOBP_POSITIVE_REGULATION_OF_TRANSCRIPTION_FROM_RNA_POLYMERASE_II_PROMOTER_IN_RESPONSE_TO_STRESS")</f>
        <v>GOBP_POSITIVE_REGULATION_OF_TRANSCRIPTION_FROM_RNA_POLYMERASE_II_PROMOTER_IN_RESPONSE_TO_STRESS</v>
      </c>
      <c r="C1382" s="4">
        <v>20</v>
      </c>
      <c r="D1382" s="3">
        <v>1.5452572</v>
      </c>
      <c r="E1382" s="1">
        <v>2.6269701999999999E-2</v>
      </c>
      <c r="F1382" s="2">
        <v>5.2774179999999997E-2</v>
      </c>
    </row>
    <row r="1383" spans="1:6" x14ac:dyDescent="0.25">
      <c r="A1383" t="s">
        <v>6</v>
      </c>
      <c r="B1383" s="5" t="str">
        <f>HYPERLINK("http://www.broadinstitute.org/gsea/msigdb/cards/GOBP_POSITIVE_REGULATION_OF_MONOOXYGENASE_ACTIVITY.html","GOBP_POSITIVE_REGULATION_OF_MONOOXYGENASE_ACTIVITY")</f>
        <v>GOBP_POSITIVE_REGULATION_OF_MONOOXYGENASE_ACTIVITY</v>
      </c>
      <c r="C1383" s="4">
        <v>29</v>
      </c>
      <c r="D1383" s="3">
        <v>1.5449333000000001</v>
      </c>
      <c r="E1383" s="1">
        <v>2.4054984000000001E-2</v>
      </c>
      <c r="F1383" s="2">
        <v>5.2863109999999998E-2</v>
      </c>
    </row>
    <row r="1384" spans="1:6" x14ac:dyDescent="0.25">
      <c r="A1384" t="s">
        <v>6</v>
      </c>
      <c r="B1384" s="5" t="str">
        <f>HYPERLINK("http://www.broadinstitute.org/gsea/msigdb/cards/GOBP_RECEPTOR_CATABOLIC_PROCESS.html","GOBP_RECEPTOR_CATABOLIC_PROCESS")</f>
        <v>GOBP_RECEPTOR_CATABOLIC_PROCESS</v>
      </c>
      <c r="C1384" s="4">
        <v>31</v>
      </c>
      <c r="D1384" s="3">
        <v>1.544149</v>
      </c>
      <c r="E1384" s="1">
        <v>1.6920472999999998E-2</v>
      </c>
      <c r="F1384" s="2">
        <v>5.3181763999999999E-2</v>
      </c>
    </row>
    <row r="1385" spans="1:6" x14ac:dyDescent="0.25">
      <c r="A1385" t="s">
        <v>6</v>
      </c>
      <c r="B1385" s="5" t="str">
        <f>HYPERLINK("http://www.broadinstitute.org/gsea/msigdb/cards/GOBP_CD4_POSITIVE_ALPHA_BETA_T_CELL_DIFFERENTIATION.html","GOBP_CD4_POSITIVE_ALPHA_BETA_T_CELL_DIFFERENTIATION")</f>
        <v>GOBP_CD4_POSITIVE_ALPHA_BETA_T_CELL_DIFFERENTIATION</v>
      </c>
      <c r="C1385" s="4">
        <v>96</v>
      </c>
      <c r="D1385" s="3">
        <v>1.5436641</v>
      </c>
      <c r="E1385" s="1">
        <v>7.6569676999999996E-3</v>
      </c>
      <c r="F1385" s="2">
        <v>5.3330448000000003E-2</v>
      </c>
    </row>
    <row r="1386" spans="1:6" x14ac:dyDescent="0.25">
      <c r="A1386" t="s">
        <v>6</v>
      </c>
      <c r="B1386" s="5" t="str">
        <f>HYPERLINK("http://www.broadinstitute.org/gsea/msigdb/cards/GOBP_POSITIVE_REGULATION_OF_LYMPHOCYTE_DIFFERENTIATION.html","GOBP_POSITIVE_REGULATION_OF_LYMPHOCYTE_DIFFERENTIATION")</f>
        <v>GOBP_POSITIVE_REGULATION_OF_LYMPHOCYTE_DIFFERENTIATION</v>
      </c>
      <c r="C1386" s="4">
        <v>136</v>
      </c>
      <c r="D1386" s="3">
        <v>1.5434614</v>
      </c>
      <c r="E1386" s="1">
        <v>4.3541365000000004E-3</v>
      </c>
      <c r="F1386" s="2">
        <v>5.3391397E-2</v>
      </c>
    </row>
    <row r="1387" spans="1:6" x14ac:dyDescent="0.25">
      <c r="A1387" t="s">
        <v>6</v>
      </c>
      <c r="B1387" s="5" t="str">
        <f>HYPERLINK("http://www.broadinstitute.org/gsea/msigdb/cards/GOBP_POSITIVE_REGULATION_OF_JUN_KINASE_ACTIVITY.html","GOBP_POSITIVE_REGULATION_OF_JUN_KINASE_ACTIVITY")</f>
        <v>GOBP_POSITIVE_REGULATION_OF_JUN_KINASE_ACTIVITY</v>
      </c>
      <c r="C1387" s="4">
        <v>55</v>
      </c>
      <c r="D1387" s="3">
        <v>1.5434127</v>
      </c>
      <c r="E1387" s="1">
        <v>1.46818925E-2</v>
      </c>
      <c r="F1387" s="2">
        <v>5.3375510000000001E-2</v>
      </c>
    </row>
    <row r="1388" spans="1:6" x14ac:dyDescent="0.25">
      <c r="A1388" t="s">
        <v>8</v>
      </c>
      <c r="B1388" s="5" t="str">
        <f>HYPERLINK("http://www.broadinstitute.org/gsea/msigdb/cards/GOMF_ADENYLYLTRANSFERASE_ACTIVITY.html","GOMF_ADENYLYLTRANSFERASE_ACTIVITY")</f>
        <v>GOMF_ADENYLYLTRANSFERASE_ACTIVITY</v>
      </c>
      <c r="C1388" s="4">
        <v>35</v>
      </c>
      <c r="D1388" s="3">
        <v>1.543245</v>
      </c>
      <c r="E1388" s="1">
        <v>1.1824325E-2</v>
      </c>
      <c r="F1388" s="2">
        <v>5.340342E-2</v>
      </c>
    </row>
    <row r="1389" spans="1:6" x14ac:dyDescent="0.25">
      <c r="A1389" t="s">
        <v>8</v>
      </c>
      <c r="B1389" s="5" t="str">
        <f>HYPERLINK("http://www.broadinstitute.org/gsea/msigdb/cards/GOMF_CHEMOATTRACTANT_ACTIVITY.html","GOMF_CHEMOATTRACTANT_ACTIVITY")</f>
        <v>GOMF_CHEMOATTRACTANT_ACTIVITY</v>
      </c>
      <c r="C1389" s="4">
        <v>37</v>
      </c>
      <c r="D1389" s="3">
        <v>1.542489</v>
      </c>
      <c r="E1389" s="1">
        <v>2.3140496E-2</v>
      </c>
      <c r="F1389" s="2">
        <v>5.3706348000000001E-2</v>
      </c>
    </row>
    <row r="1390" spans="1:6" x14ac:dyDescent="0.25">
      <c r="A1390" t="s">
        <v>10</v>
      </c>
      <c r="B1390" s="5" t="str">
        <f>HYPERLINK("http://www.broadinstitute.org/gsea/msigdb/cards/REACTOME_SIGNALING_BY_EGFR.html","REACTOME_SIGNALING_BY_EGFR")</f>
        <v>REACTOME_SIGNALING_BY_EGFR</v>
      </c>
      <c r="C1390" s="4">
        <v>46</v>
      </c>
      <c r="D1390" s="3">
        <v>1.5424869000000001</v>
      </c>
      <c r="E1390" s="1">
        <v>2.3140496E-2</v>
      </c>
      <c r="F1390" s="2">
        <v>5.3669979999999999E-2</v>
      </c>
    </row>
    <row r="1391" spans="1:6" x14ac:dyDescent="0.25">
      <c r="A1391" t="s">
        <v>8</v>
      </c>
      <c r="B1391" s="5" t="str">
        <f>HYPERLINK("http://www.broadinstitute.org/gsea/msigdb/cards/GOMF_FLIPPASE_ACTIVITY.html","GOMF_FLIPPASE_ACTIVITY")</f>
        <v>GOMF_FLIPPASE_ACTIVITY</v>
      </c>
      <c r="C1391" s="4">
        <v>17</v>
      </c>
      <c r="D1391" s="3">
        <v>1.5416458</v>
      </c>
      <c r="E1391" s="1">
        <v>3.3216782E-2</v>
      </c>
      <c r="F1391" s="2">
        <v>5.3983280000000002E-2</v>
      </c>
    </row>
    <row r="1392" spans="1:6" x14ac:dyDescent="0.25">
      <c r="A1392" t="s">
        <v>6</v>
      </c>
      <c r="B1392" s="5" t="str">
        <f>HYPERLINK("http://www.broadinstitute.org/gsea/msigdb/cards/GOBP_MYELOID_CELL_DEVELOPMENT.html","GOBP_MYELOID_CELL_DEVELOPMENT")</f>
        <v>GOBP_MYELOID_CELL_DEVELOPMENT</v>
      </c>
      <c r="C1392" s="4">
        <v>93</v>
      </c>
      <c r="D1392" s="3">
        <v>1.5414312999999999</v>
      </c>
      <c r="E1392" s="1">
        <v>1.0736196E-2</v>
      </c>
      <c r="F1392" s="2">
        <v>5.4030109999999999E-2</v>
      </c>
    </row>
    <row r="1393" spans="1:6" x14ac:dyDescent="0.25">
      <c r="A1393" t="s">
        <v>10</v>
      </c>
      <c r="B1393" s="5" t="str">
        <f>HYPERLINK("http://www.broadinstitute.org/gsea/msigdb/cards/REACTOME_METABOLISM_OF_CARBOHYDRATES.html","REACTOME_METABOLISM_OF_CARBOHYDRATES")</f>
        <v>REACTOME_METABOLISM_OF_CARBOHYDRATES</v>
      </c>
      <c r="C1393" s="4">
        <v>265</v>
      </c>
      <c r="D1393" s="3">
        <v>1.5408955</v>
      </c>
      <c r="E1393" s="1">
        <v>0</v>
      </c>
      <c r="F1393" s="2">
        <v>5.4246080000000002E-2</v>
      </c>
    </row>
    <row r="1394" spans="1:6" x14ac:dyDescent="0.25">
      <c r="A1394" t="s">
        <v>6</v>
      </c>
      <c r="B1394" s="5" t="str">
        <f>HYPERLINK("http://www.broadinstitute.org/gsea/msigdb/cards/GOBP_VACUOLAR_ACIDIFICATION.html","GOBP_VACUOLAR_ACIDIFICATION")</f>
        <v>GOBP_VACUOLAR_ACIDIFICATION</v>
      </c>
      <c r="C1394" s="4">
        <v>25</v>
      </c>
      <c r="D1394" s="3">
        <v>1.5404096</v>
      </c>
      <c r="E1394" s="1">
        <v>1.6977928999999999E-2</v>
      </c>
      <c r="F1394" s="2">
        <v>5.4440606000000002E-2</v>
      </c>
    </row>
    <row r="1395" spans="1:6" x14ac:dyDescent="0.25">
      <c r="A1395" t="s">
        <v>10</v>
      </c>
      <c r="B1395" s="5" t="str">
        <f>HYPERLINK("http://www.broadinstitute.org/gsea/msigdb/cards/REACTOME_SIGNAL_TRANSDUCTION_BY_L1.html","REACTOME_SIGNAL_TRANSDUCTION_BY_L1")</f>
        <v>REACTOME_SIGNAL_TRANSDUCTION_BY_L1</v>
      </c>
      <c r="C1395" s="4">
        <v>19</v>
      </c>
      <c r="D1395" s="3">
        <v>1.5403199999999999</v>
      </c>
      <c r="E1395" s="1">
        <v>0.04</v>
      </c>
      <c r="F1395" s="2">
        <v>5.4434231999999999E-2</v>
      </c>
    </row>
    <row r="1396" spans="1:6" x14ac:dyDescent="0.25">
      <c r="A1396" t="s">
        <v>7</v>
      </c>
      <c r="B1396" s="5" t="str">
        <f>HYPERLINK("http://www.broadinstitute.org/gsea/msigdb/cards/GOCC_LAMELLIPODIUM.html","GOCC_LAMELLIPODIUM")</f>
        <v>GOCC_LAMELLIPODIUM</v>
      </c>
      <c r="C1396" s="4">
        <v>179</v>
      </c>
      <c r="D1396" s="3">
        <v>1.5400076</v>
      </c>
      <c r="E1396" s="1">
        <v>0</v>
      </c>
      <c r="F1396" s="2">
        <v>5.4529559999999998E-2</v>
      </c>
    </row>
    <row r="1397" spans="1:6" x14ac:dyDescent="0.25">
      <c r="A1397" t="s">
        <v>6</v>
      </c>
      <c r="B1397" s="5" t="str">
        <f>HYPERLINK("http://www.broadinstitute.org/gsea/msigdb/cards/GOBP_NEGATIVE_REGULATION_OF_HOMOTYPIC_CELL_CELL_ADHESION.html","GOBP_NEGATIVE_REGULATION_OF_HOMOTYPIC_CELL_CELL_ADHESION")</f>
        <v>GOBP_NEGATIVE_REGULATION_OF_HOMOTYPIC_CELL_CELL_ADHESION</v>
      </c>
      <c r="C1397" s="4">
        <v>15</v>
      </c>
      <c r="D1397" s="3">
        <v>1.5395774</v>
      </c>
      <c r="E1397" s="1">
        <v>3.9518900000000003E-2</v>
      </c>
      <c r="F1397" s="2">
        <v>5.4676846000000001E-2</v>
      </c>
    </row>
    <row r="1398" spans="1:6" x14ac:dyDescent="0.25">
      <c r="A1398" t="s">
        <v>6</v>
      </c>
      <c r="B1398" s="5" t="str">
        <f>HYPERLINK("http://www.broadinstitute.org/gsea/msigdb/cards/GOBP_POSITIVE_REGULATION_OF_MAST_CELL_ACTIVATION_INVOLVED_IN_IMMUNE_RESPONSE.html","GOBP_POSITIVE_REGULATION_OF_MAST_CELL_ACTIVATION_INVOLVED_IN_IMMUNE_RESPONSE")</f>
        <v>GOBP_POSITIVE_REGULATION_OF_MAST_CELL_ACTIVATION_INVOLVED_IN_IMMUNE_RESPONSE</v>
      </c>
      <c r="C1398" s="4">
        <v>22</v>
      </c>
      <c r="D1398" s="3">
        <v>1.5389898</v>
      </c>
      <c r="E1398" s="1">
        <v>2.6666667000000002E-2</v>
      </c>
      <c r="F1398" s="2">
        <v>5.4913910000000003E-2</v>
      </c>
    </row>
    <row r="1399" spans="1:6" x14ac:dyDescent="0.25">
      <c r="A1399" t="s">
        <v>7</v>
      </c>
      <c r="B1399" s="5" t="str">
        <f>HYPERLINK("http://www.broadinstitute.org/gsea/msigdb/cards/GOCC_AUTOPHAGOSOME.html","GOCC_AUTOPHAGOSOME")</f>
        <v>GOCC_AUTOPHAGOSOME</v>
      </c>
      <c r="C1399" s="4">
        <v>90</v>
      </c>
      <c r="D1399" s="3">
        <v>1.5389786000000001</v>
      </c>
      <c r="E1399" s="1">
        <v>9.3023259999999997E-3</v>
      </c>
      <c r="F1399" s="2">
        <v>5.4879232999999999E-2</v>
      </c>
    </row>
    <row r="1400" spans="1:6" x14ac:dyDescent="0.25">
      <c r="A1400" t="s">
        <v>6</v>
      </c>
      <c r="B1400" s="5" t="str">
        <f>HYPERLINK("http://www.broadinstitute.org/gsea/msigdb/cards/GOBP_SMAD_PROTEIN_SIGNAL_TRANSDUCTION.html","GOBP_SMAD_PROTEIN_SIGNAL_TRANSDUCTION")</f>
        <v>GOBP_SMAD_PROTEIN_SIGNAL_TRANSDUCTION</v>
      </c>
      <c r="C1400" s="4">
        <v>82</v>
      </c>
      <c r="D1400" s="3">
        <v>1.5388862999999999</v>
      </c>
      <c r="E1400" s="1">
        <v>1.1686143E-2</v>
      </c>
      <c r="F1400" s="2">
        <v>5.4874766999999998E-2</v>
      </c>
    </row>
    <row r="1401" spans="1:6" x14ac:dyDescent="0.25">
      <c r="A1401" t="s">
        <v>6</v>
      </c>
      <c r="B1401" s="5" t="str">
        <f>HYPERLINK("http://www.broadinstitute.org/gsea/msigdb/cards/GOBP_NEGATIVE_REGULATION_OF_RECEPTOR_SIGNALING_PATHWAY_VIA_STAT.html","GOBP_NEGATIVE_REGULATION_OF_RECEPTOR_SIGNALING_PATHWAY_VIA_STAT")</f>
        <v>GOBP_NEGATIVE_REGULATION_OF_RECEPTOR_SIGNALING_PATHWAY_VIA_STAT</v>
      </c>
      <c r="C1401" s="4">
        <v>30</v>
      </c>
      <c r="D1401" s="3">
        <v>1.5375413</v>
      </c>
      <c r="E1401" s="1">
        <v>1.5151516E-2</v>
      </c>
      <c r="F1401" s="2">
        <v>5.5438925E-2</v>
      </c>
    </row>
    <row r="1402" spans="1:6" x14ac:dyDescent="0.25">
      <c r="A1402" t="s">
        <v>6</v>
      </c>
      <c r="B1402" s="5" t="str">
        <f>HYPERLINK("http://www.broadinstitute.org/gsea/msigdb/cards/GOBP_MIDBODY_ABSCISSION.html","GOBP_MIDBODY_ABSCISSION")</f>
        <v>GOBP_MIDBODY_ABSCISSION</v>
      </c>
      <c r="C1402" s="4">
        <v>16</v>
      </c>
      <c r="D1402" s="3">
        <v>1.5368161</v>
      </c>
      <c r="E1402" s="1">
        <v>3.6971829999999997E-2</v>
      </c>
      <c r="F1402" s="2">
        <v>5.5728435999999999E-2</v>
      </c>
    </row>
    <row r="1403" spans="1:6" x14ac:dyDescent="0.25">
      <c r="A1403" t="s">
        <v>6</v>
      </c>
      <c r="B1403" s="5" t="str">
        <f>HYPERLINK("http://www.broadinstitute.org/gsea/msigdb/cards/GOBP_GTP_METABOLIC_PROCESS.html","GOBP_GTP_METABOLIC_PROCESS")</f>
        <v>GOBP_GTP_METABOLIC_PROCESS</v>
      </c>
      <c r="C1403" s="4">
        <v>26</v>
      </c>
      <c r="D1403" s="3">
        <v>1.5364586</v>
      </c>
      <c r="E1403" s="1">
        <v>2.4271844000000001E-2</v>
      </c>
      <c r="F1403" s="2">
        <v>5.5853649999999998E-2</v>
      </c>
    </row>
    <row r="1404" spans="1:6" x14ac:dyDescent="0.25">
      <c r="A1404" t="s">
        <v>6</v>
      </c>
      <c r="B1404" s="5" t="str">
        <f>HYPERLINK("http://www.broadinstitute.org/gsea/msigdb/cards/GOBP_PROCESS_UTILIZING_AUTOPHAGIC_MECHANISM.html","GOBP_PROCESS_UTILIZING_AUTOPHAGIC_MECHANISM")</f>
        <v>GOBP_PROCESS_UTILIZING_AUTOPHAGIC_MECHANISM</v>
      </c>
      <c r="C1404" s="4">
        <v>492</v>
      </c>
      <c r="D1404" s="3">
        <v>1.5359459</v>
      </c>
      <c r="E1404" s="1">
        <v>0</v>
      </c>
      <c r="F1404" s="2">
        <v>5.6050206999999998E-2</v>
      </c>
    </row>
    <row r="1405" spans="1:6" x14ac:dyDescent="0.25">
      <c r="A1405" t="s">
        <v>6</v>
      </c>
      <c r="B1405" s="5" t="str">
        <f>HYPERLINK("http://www.broadinstitute.org/gsea/msigdb/cards/GOBP_GLYCOSPHINGOLIPID_METABOLIC_PROCESS.html","GOBP_GLYCOSPHINGOLIPID_METABOLIC_PROCESS")</f>
        <v>GOBP_GLYCOSPHINGOLIPID_METABOLIC_PROCESS</v>
      </c>
      <c r="C1405" s="4">
        <v>51</v>
      </c>
      <c r="D1405" s="3">
        <v>1.535069</v>
      </c>
      <c r="E1405" s="1">
        <v>1.8032787000000002E-2</v>
      </c>
      <c r="F1405" s="2">
        <v>5.6405934999999997E-2</v>
      </c>
    </row>
    <row r="1406" spans="1:6" x14ac:dyDescent="0.25">
      <c r="A1406" t="s">
        <v>6</v>
      </c>
      <c r="B1406" s="5" t="str">
        <f>HYPERLINK("http://www.broadinstitute.org/gsea/msigdb/cards/GOBP_REGULATION_OF_SMAD_PROTEIN_SIGNAL_TRANSDUCTION.html","GOBP_REGULATION_OF_SMAD_PROTEIN_SIGNAL_TRANSDUCTION")</f>
        <v>GOBP_REGULATION_OF_SMAD_PROTEIN_SIGNAL_TRANSDUCTION</v>
      </c>
      <c r="C1406" s="4">
        <v>44</v>
      </c>
      <c r="D1406" s="3">
        <v>1.5350305</v>
      </c>
      <c r="E1406" s="1">
        <v>2.4767800999999999E-2</v>
      </c>
      <c r="F1406" s="2">
        <v>5.6379598000000003E-2</v>
      </c>
    </row>
    <row r="1407" spans="1:6" x14ac:dyDescent="0.25">
      <c r="A1407" t="s">
        <v>8</v>
      </c>
      <c r="B1407" s="5" t="str">
        <f>HYPERLINK("http://www.broadinstitute.org/gsea/msigdb/cards/GOMF_METALLOCARBOXYPEPTIDASE_ACTIVITY.html","GOMF_METALLOCARBOXYPEPTIDASE_ACTIVITY")</f>
        <v>GOMF_METALLOCARBOXYPEPTIDASE_ACTIVITY</v>
      </c>
      <c r="C1407" s="4">
        <v>26</v>
      </c>
      <c r="D1407" s="3">
        <v>1.5347055000000001</v>
      </c>
      <c r="E1407" s="1">
        <v>2.7210884000000001E-2</v>
      </c>
      <c r="F1407" s="2">
        <v>5.6500737000000002E-2</v>
      </c>
    </row>
    <row r="1408" spans="1:6" x14ac:dyDescent="0.25">
      <c r="A1408" t="s">
        <v>9</v>
      </c>
      <c r="B1408" s="5" t="str">
        <f>HYPERLINK("http://www.broadinstitute.org/gsea/msigdb/cards/HALLMARK_ANDROGEN_RESPONSE.html","HALLMARK_ANDROGEN_RESPONSE")</f>
        <v>HALLMARK_ANDROGEN_RESPONSE</v>
      </c>
      <c r="C1408" s="4">
        <v>95</v>
      </c>
      <c r="D1408" s="3">
        <v>1.5344808000000001</v>
      </c>
      <c r="E1408" s="1">
        <v>6.2305294000000004E-3</v>
      </c>
      <c r="F1408" s="2">
        <v>5.6556130000000003E-2</v>
      </c>
    </row>
    <row r="1409" spans="1:6" x14ac:dyDescent="0.25">
      <c r="A1409" t="s">
        <v>6</v>
      </c>
      <c r="B1409" s="5" t="str">
        <f>HYPERLINK("http://www.broadinstitute.org/gsea/msigdb/cards/GOBP_EOSINOPHIL_CHEMOTAXIS.html","GOBP_EOSINOPHIL_CHEMOTAXIS")</f>
        <v>GOBP_EOSINOPHIL_CHEMOTAXIS</v>
      </c>
      <c r="C1409" s="4">
        <v>21</v>
      </c>
      <c r="D1409" s="3">
        <v>1.5337126999999999</v>
      </c>
      <c r="E1409" s="1">
        <v>3.4542314999999997E-2</v>
      </c>
      <c r="F1409" s="2">
        <v>5.6866369999999999E-2</v>
      </c>
    </row>
    <row r="1410" spans="1:6" x14ac:dyDescent="0.25">
      <c r="A1410" t="s">
        <v>10</v>
      </c>
      <c r="B1410" s="5" t="str">
        <f>HYPERLINK("http://www.broadinstitute.org/gsea/msigdb/cards/REACTOME_NERVOUS_SYSTEM_DEVELOPMENT.html","REACTOME_NERVOUS_SYSTEM_DEVELOPMENT")</f>
        <v>REACTOME_NERVOUS_SYSTEM_DEVELOPMENT</v>
      </c>
      <c r="C1410" s="4">
        <v>260</v>
      </c>
      <c r="D1410" s="3">
        <v>1.5336955999999999</v>
      </c>
      <c r="E1410" s="1">
        <v>0</v>
      </c>
      <c r="F1410" s="2">
        <v>5.683672E-2</v>
      </c>
    </row>
    <row r="1411" spans="1:6" x14ac:dyDescent="0.25">
      <c r="A1411" t="s">
        <v>6</v>
      </c>
      <c r="B1411" s="5" t="str">
        <f>HYPERLINK("http://www.broadinstitute.org/gsea/msigdb/cards/GOBP_HOMEOSTASIS_OF_NUMBER_OF_CELLS.html","GOBP_HOMEOSTASIS_OF_NUMBER_OF_CELLS")</f>
        <v>GOBP_HOMEOSTASIS_OF_NUMBER_OF_CELLS</v>
      </c>
      <c r="C1411" s="4">
        <v>381</v>
      </c>
      <c r="D1411" s="3">
        <v>1.5334501</v>
      </c>
      <c r="E1411" s="1">
        <v>0</v>
      </c>
      <c r="F1411" s="2">
        <v>5.6909469999999997E-2</v>
      </c>
    </row>
    <row r="1412" spans="1:6" x14ac:dyDescent="0.25">
      <c r="A1412" t="s">
        <v>6</v>
      </c>
      <c r="B1412" s="5" t="str">
        <f>HYPERLINK("http://www.broadinstitute.org/gsea/msigdb/cards/GOBP_CELL_CELL_JUNCTION_ORGANIZATION.html","GOBP_CELL_CELL_JUNCTION_ORGANIZATION")</f>
        <v>GOBP_CELL_CELL_JUNCTION_ORGANIZATION</v>
      </c>
      <c r="C1412" s="4">
        <v>211</v>
      </c>
      <c r="D1412" s="3">
        <v>1.5329671</v>
      </c>
      <c r="E1412" s="1">
        <v>0</v>
      </c>
      <c r="F1412" s="2">
        <v>5.7099659999999997E-2</v>
      </c>
    </row>
    <row r="1413" spans="1:6" x14ac:dyDescent="0.25">
      <c r="A1413" t="s">
        <v>6</v>
      </c>
      <c r="B1413" s="5" t="str">
        <f>HYPERLINK("http://www.broadinstitute.org/gsea/msigdb/cards/GOBP_NUCLEOBASE_CONTAINING_SMALL_MOLECULE_CATABOLIC_PROCESS.html","GOBP_NUCLEOBASE_CONTAINING_SMALL_MOLECULE_CATABOLIC_PROCESS")</f>
        <v>GOBP_NUCLEOBASE_CONTAINING_SMALL_MOLECULE_CATABOLIC_PROCESS</v>
      </c>
      <c r="C1413" s="4">
        <v>25</v>
      </c>
      <c r="D1413" s="3">
        <v>1.5326518</v>
      </c>
      <c r="E1413" s="1">
        <v>2.4509804E-2</v>
      </c>
      <c r="F1413" s="2">
        <v>5.7193620000000001E-2</v>
      </c>
    </row>
    <row r="1414" spans="1:6" x14ac:dyDescent="0.25">
      <c r="A1414" t="s">
        <v>6</v>
      </c>
      <c r="B1414" s="5" t="str">
        <f>HYPERLINK("http://www.broadinstitute.org/gsea/msigdb/cards/GOBP_NEGATIVE_REGULATION_OF_G_PROTEIN_COUPLED_RECEPTOR_SIGNALING_PATHWAY.html","GOBP_NEGATIVE_REGULATION_OF_G_PROTEIN_COUPLED_RECEPTOR_SIGNALING_PATHWAY")</f>
        <v>GOBP_NEGATIVE_REGULATION_OF_G_PROTEIN_COUPLED_RECEPTOR_SIGNALING_PATHWAY</v>
      </c>
      <c r="C1414" s="4">
        <v>63</v>
      </c>
      <c r="D1414" s="3">
        <v>1.5317078</v>
      </c>
      <c r="E1414" s="1">
        <v>9.5999999999999992E-3</v>
      </c>
      <c r="F1414" s="2">
        <v>5.757222E-2</v>
      </c>
    </row>
    <row r="1415" spans="1:6" x14ac:dyDescent="0.25">
      <c r="A1415" t="s">
        <v>6</v>
      </c>
      <c r="B1415" s="5" t="str">
        <f>HYPERLINK("http://www.broadinstitute.org/gsea/msigdb/cards/GOBP_RESPONSE_TO_PROSTAGLANDIN_E.html","GOBP_RESPONSE_TO_PROSTAGLANDIN_E")</f>
        <v>GOBP_RESPONSE_TO_PROSTAGLANDIN_E</v>
      </c>
      <c r="C1415" s="4">
        <v>19</v>
      </c>
      <c r="D1415" s="3">
        <v>1.531066</v>
      </c>
      <c r="E1415" s="1">
        <v>3.3783781999999998E-2</v>
      </c>
      <c r="F1415" s="2">
        <v>5.7843678000000003E-2</v>
      </c>
    </row>
    <row r="1416" spans="1:6" x14ac:dyDescent="0.25">
      <c r="A1416" t="s">
        <v>6</v>
      </c>
      <c r="B1416" s="5" t="str">
        <f>HYPERLINK("http://www.broadinstitute.org/gsea/msigdb/cards/GOBP_NEGATIVE_REGULATION_OF_PROTEIN_LOCALIZATION_TO_CELL_PERIPHERY.html","GOBP_NEGATIVE_REGULATION_OF_PROTEIN_LOCALIZATION_TO_CELL_PERIPHERY")</f>
        <v>GOBP_NEGATIVE_REGULATION_OF_PROTEIN_LOCALIZATION_TO_CELL_PERIPHERY</v>
      </c>
      <c r="C1416" s="4">
        <v>30</v>
      </c>
      <c r="D1416" s="3">
        <v>1.5306310999999999</v>
      </c>
      <c r="E1416" s="1">
        <v>3.1772575999999997E-2</v>
      </c>
      <c r="F1416" s="2">
        <v>5.8021040000000003E-2</v>
      </c>
    </row>
    <row r="1417" spans="1:6" x14ac:dyDescent="0.25">
      <c r="A1417" t="s">
        <v>6</v>
      </c>
      <c r="B1417" s="5" t="str">
        <f>HYPERLINK("http://www.broadinstitute.org/gsea/msigdb/cards/GOBP_REGULATION_OF_ACTIN_FILAMENT_BASED_PROCESS.html","GOBP_REGULATION_OF_ACTIN_FILAMENT_BASED_PROCESS")</f>
        <v>GOBP_REGULATION_OF_ACTIN_FILAMENT_BASED_PROCESS</v>
      </c>
      <c r="C1417" s="4">
        <v>389</v>
      </c>
      <c r="D1417" s="3">
        <v>1.5305530000000001</v>
      </c>
      <c r="E1417" s="1">
        <v>0</v>
      </c>
      <c r="F1417" s="2">
        <v>5.8027460000000003E-2</v>
      </c>
    </row>
    <row r="1418" spans="1:6" x14ac:dyDescent="0.25">
      <c r="A1418" t="s">
        <v>6</v>
      </c>
      <c r="B1418" s="5" t="str">
        <f>HYPERLINK("http://www.broadinstitute.org/gsea/msigdb/cards/GOBP_POSITIVE_REGULATION_OF_B_CELL_ACTIVATION.html","GOBP_POSITIVE_REGULATION_OF_B_CELL_ACTIVATION")</f>
        <v>GOBP_POSITIVE_REGULATION_OF_B_CELL_ACTIVATION</v>
      </c>
      <c r="C1418" s="4">
        <v>88</v>
      </c>
      <c r="D1418" s="3">
        <v>1.5305500999999999</v>
      </c>
      <c r="E1418" s="1">
        <v>9.4191524999999998E-3</v>
      </c>
      <c r="F1418" s="2">
        <v>5.7987230000000001E-2</v>
      </c>
    </row>
    <row r="1419" spans="1:6" x14ac:dyDescent="0.25">
      <c r="A1419" t="s">
        <v>6</v>
      </c>
      <c r="B1419" s="5" t="str">
        <f>HYPERLINK("http://www.broadinstitute.org/gsea/msigdb/cards/GOBP_NEGATIVE_REGULATION_OF_PROTEIN_LOCALIZATION_TO_NUCLEUS.html","GOBP_NEGATIVE_REGULATION_OF_PROTEIN_LOCALIZATION_TO_NUCLEUS")</f>
        <v>GOBP_NEGATIVE_REGULATION_OF_PROTEIN_LOCALIZATION_TO_NUCLEUS</v>
      </c>
      <c r="C1419" s="4">
        <v>44</v>
      </c>
      <c r="D1419" s="3">
        <v>1.5304768</v>
      </c>
      <c r="E1419" s="1">
        <v>9.5087160000000004E-3</v>
      </c>
      <c r="F1419" s="2">
        <v>5.7969316999999999E-2</v>
      </c>
    </row>
    <row r="1420" spans="1:6" x14ac:dyDescent="0.25">
      <c r="A1420" t="s">
        <v>7</v>
      </c>
      <c r="B1420" s="5" t="str">
        <f>HYPERLINK("http://www.broadinstitute.org/gsea/msigdb/cards/GOCC_GTPASE_COMPLEX.html","GOCC_GTPASE_COMPLEX")</f>
        <v>GOCC_GTPASE_COMPLEX</v>
      </c>
      <c r="C1420" s="4">
        <v>39</v>
      </c>
      <c r="D1420" s="3">
        <v>1.5301887999999999</v>
      </c>
      <c r="E1420" s="1">
        <v>2.9109590000000001E-2</v>
      </c>
      <c r="F1420" s="2">
        <v>5.8072912999999997E-2</v>
      </c>
    </row>
    <row r="1421" spans="1:6" x14ac:dyDescent="0.25">
      <c r="A1421" t="s">
        <v>10</v>
      </c>
      <c r="B1421" s="5" t="str">
        <f>HYPERLINK("http://www.broadinstitute.org/gsea/msigdb/cards/REACTOME_MYD88_MAL_TIRAP_CASCADE_INITIATED_ON_PLASMA_MEMBRANE.html","REACTOME_MYD88_MAL_TIRAP_CASCADE_INITIATED_ON_PLASMA_MEMBRANE")</f>
        <v>REACTOME_MYD88_MAL_TIRAP_CASCADE_INITIATED_ON_PLASMA_MEMBRANE</v>
      </c>
      <c r="C1421" s="4">
        <v>83</v>
      </c>
      <c r="D1421" s="3">
        <v>1.5301809</v>
      </c>
      <c r="E1421" s="1">
        <v>1.2383900999999999E-2</v>
      </c>
      <c r="F1421" s="2">
        <v>5.8035016000000002E-2</v>
      </c>
    </row>
    <row r="1422" spans="1:6" x14ac:dyDescent="0.25">
      <c r="A1422" t="s">
        <v>6</v>
      </c>
      <c r="B1422" s="5" t="str">
        <f>HYPERLINK("http://www.broadinstitute.org/gsea/msigdb/cards/GOBP_REGULATION_OF_EXTRINSIC_APOPTOTIC_SIGNALING_PATHWAY.html","GOBP_REGULATION_OF_EXTRINSIC_APOPTOTIC_SIGNALING_PATHWAY")</f>
        <v>GOBP_REGULATION_OF_EXTRINSIC_APOPTOTIC_SIGNALING_PATHWAY</v>
      </c>
      <c r="C1422" s="4">
        <v>169</v>
      </c>
      <c r="D1422" s="3">
        <v>1.5299691</v>
      </c>
      <c r="E1422" s="1">
        <v>1.4771048E-3</v>
      </c>
      <c r="F1422" s="2">
        <v>5.8086550000000001E-2</v>
      </c>
    </row>
    <row r="1423" spans="1:6" x14ac:dyDescent="0.25">
      <c r="A1423" t="s">
        <v>6</v>
      </c>
      <c r="B1423" s="5" t="str">
        <f>HYPERLINK("http://www.broadinstitute.org/gsea/msigdb/cards/GOBP_CHONDROITIN_SULFATE_METABOLIC_PROCESS.html","GOBP_CHONDROITIN_SULFATE_METABOLIC_PROCESS")</f>
        <v>GOBP_CHONDROITIN_SULFATE_METABOLIC_PROCESS</v>
      </c>
      <c r="C1423" s="4">
        <v>26</v>
      </c>
      <c r="D1423" s="3">
        <v>1.5295825000000001</v>
      </c>
      <c r="E1423" s="1">
        <v>1.8487396E-2</v>
      </c>
      <c r="F1423" s="2">
        <v>5.824936E-2</v>
      </c>
    </row>
    <row r="1424" spans="1:6" x14ac:dyDescent="0.25">
      <c r="A1424" t="s">
        <v>10</v>
      </c>
      <c r="B1424" s="5" t="str">
        <f>HYPERLINK("http://www.broadinstitute.org/gsea/msigdb/cards/REACTOME_CLASS_B_2_SECRETIN_FAMILY_RECEPTORS.html","REACTOME_CLASS_B_2_SECRETIN_FAMILY_RECEPTORS")</f>
        <v>REACTOME_CLASS_B_2_SECRETIN_FAMILY_RECEPTORS</v>
      </c>
      <c r="C1424" s="4">
        <v>50</v>
      </c>
      <c r="D1424" s="3">
        <v>1.5289303999999999</v>
      </c>
      <c r="E1424" s="1">
        <v>2.0634921000000001E-2</v>
      </c>
      <c r="F1424" s="2">
        <v>5.8537908E-2</v>
      </c>
    </row>
    <row r="1425" spans="1:6" x14ac:dyDescent="0.25">
      <c r="A1425" t="s">
        <v>8</v>
      </c>
      <c r="B1425" s="5" t="str">
        <f>HYPERLINK("http://www.broadinstitute.org/gsea/msigdb/cards/GOMF_PHOSPHATIDYLINOSITOL_5_PHOSPHATE_BINDING.html","GOMF_PHOSPHATIDYLINOSITOL_5_PHOSPHATE_BINDING")</f>
        <v>GOMF_PHOSPHATIDYLINOSITOL_5_PHOSPHATE_BINDING</v>
      </c>
      <c r="C1425" s="4">
        <v>22</v>
      </c>
      <c r="D1425" s="3">
        <v>1.5285571</v>
      </c>
      <c r="E1425" s="1">
        <v>2.5641026000000001E-2</v>
      </c>
      <c r="F1425" s="2">
        <v>5.8654390000000001E-2</v>
      </c>
    </row>
    <row r="1426" spans="1:6" x14ac:dyDescent="0.25">
      <c r="A1426" t="s">
        <v>8</v>
      </c>
      <c r="B1426" s="5" t="str">
        <f>HYPERLINK("http://www.broadinstitute.org/gsea/msigdb/cards/GOMF_ICOSANOID_RECEPTOR_ACTIVITY.html","GOMF_ICOSANOID_RECEPTOR_ACTIVITY")</f>
        <v>GOMF_ICOSANOID_RECEPTOR_ACTIVITY</v>
      </c>
      <c r="C1426" s="4">
        <v>16</v>
      </c>
      <c r="D1426" s="3">
        <v>1.5283812000000001</v>
      </c>
      <c r="E1426" s="1">
        <v>2.3489933000000001E-2</v>
      </c>
      <c r="F1426" s="2">
        <v>5.8694641999999998E-2</v>
      </c>
    </row>
    <row r="1427" spans="1:6" x14ac:dyDescent="0.25">
      <c r="A1427" t="s">
        <v>6</v>
      </c>
      <c r="B1427" s="5" t="str">
        <f>HYPERLINK("http://www.broadinstitute.org/gsea/msigdb/cards/GOBP_REGULATION_OF_VACUOLE_ORGANIZATION.html","GOBP_REGULATION_OF_VACUOLE_ORGANIZATION")</f>
        <v>GOBP_REGULATION_OF_VACUOLE_ORGANIZATION</v>
      </c>
      <c r="C1427" s="4">
        <v>55</v>
      </c>
      <c r="D1427" s="3">
        <v>1.5281503000000001</v>
      </c>
      <c r="E1427" s="1">
        <v>1.2738854000000001E-2</v>
      </c>
      <c r="F1427" s="2">
        <v>5.8759008000000001E-2</v>
      </c>
    </row>
    <row r="1428" spans="1:6" x14ac:dyDescent="0.25">
      <c r="A1428" t="s">
        <v>5</v>
      </c>
      <c r="B1428" s="5" t="str">
        <f>HYPERLINK("http://www.broadinstitute.org/gsea/msigdb/cards/BIOCARTA_GCR_PATHWAY.html","BIOCARTA_GCR_PATHWAY")</f>
        <v>BIOCARTA_GCR_PATHWAY</v>
      </c>
      <c r="C1428" s="4">
        <v>16</v>
      </c>
      <c r="D1428" s="3">
        <v>1.5280429</v>
      </c>
      <c r="E1428" s="1">
        <v>3.3112580000000003E-2</v>
      </c>
      <c r="F1428" s="2">
        <v>5.877019E-2</v>
      </c>
    </row>
    <row r="1429" spans="1:6" x14ac:dyDescent="0.25">
      <c r="A1429" t="s">
        <v>8</v>
      </c>
      <c r="B1429" s="5" t="str">
        <f>HYPERLINK("http://www.broadinstitute.org/gsea/msigdb/cards/GOMF_SERINE_TYPE_ENDOPEPTIDASE_INHIBITOR_ACTIVITY.html","GOMF_SERINE_TYPE_ENDOPEPTIDASE_INHIBITOR_ACTIVITY")</f>
        <v>GOMF_SERINE_TYPE_ENDOPEPTIDASE_INHIBITOR_ACTIVITY</v>
      </c>
      <c r="C1429" s="4">
        <v>110</v>
      </c>
      <c r="D1429" s="3">
        <v>1.5277845999999999</v>
      </c>
      <c r="E1429" s="1">
        <v>2.9455079999999999E-3</v>
      </c>
      <c r="F1429" s="2">
        <v>5.8848984999999999E-2</v>
      </c>
    </row>
    <row r="1430" spans="1:6" x14ac:dyDescent="0.25">
      <c r="A1430" t="s">
        <v>6</v>
      </c>
      <c r="B1430" s="5" t="str">
        <f>HYPERLINK("http://www.broadinstitute.org/gsea/msigdb/cards/GOBP_ZINC_ION_TRANSPORT.html","GOBP_ZINC_ION_TRANSPORT")</f>
        <v>GOBP_ZINC_ION_TRANSPORT</v>
      </c>
      <c r="C1430" s="4">
        <v>30</v>
      </c>
      <c r="D1430" s="3">
        <v>1.5273304000000001</v>
      </c>
      <c r="E1430" s="1">
        <v>2.2260275E-2</v>
      </c>
      <c r="F1430" s="2">
        <v>5.9017281999999997E-2</v>
      </c>
    </row>
    <row r="1431" spans="1:6" x14ac:dyDescent="0.25">
      <c r="A1431" t="s">
        <v>7</v>
      </c>
      <c r="B1431" s="5" t="str">
        <f>HYPERLINK("http://www.broadinstitute.org/gsea/msigdb/cards/GOCC_FILOPODIUM.html","GOCC_FILOPODIUM")</f>
        <v>GOCC_FILOPODIUM</v>
      </c>
      <c r="C1431" s="4">
        <v>99</v>
      </c>
      <c r="D1431" s="3">
        <v>1.5272901999999999</v>
      </c>
      <c r="E1431" s="1">
        <v>0</v>
      </c>
      <c r="F1431" s="2">
        <v>5.899037E-2</v>
      </c>
    </row>
    <row r="1432" spans="1:6" x14ac:dyDescent="0.25">
      <c r="A1432" t="s">
        <v>6</v>
      </c>
      <c r="B1432" s="5" t="str">
        <f>HYPERLINK("http://www.broadinstitute.org/gsea/msigdb/cards/GOBP_ALPHA_BETA_T_CELL_DIFFERENTIATION.html","GOBP_ALPHA_BETA_T_CELL_DIFFERENTIATION")</f>
        <v>GOBP_ALPHA_BETA_T_CELL_DIFFERENTIATION</v>
      </c>
      <c r="C1432" s="4">
        <v>134</v>
      </c>
      <c r="D1432" s="3">
        <v>1.5270436999999999</v>
      </c>
      <c r="E1432" s="1">
        <v>2.9154519999999998E-3</v>
      </c>
      <c r="F1432" s="2">
        <v>5.9072573000000003E-2</v>
      </c>
    </row>
    <row r="1433" spans="1:6" x14ac:dyDescent="0.25">
      <c r="A1433" t="s">
        <v>8</v>
      </c>
      <c r="B1433" s="5" t="str">
        <f>HYPERLINK("http://www.broadinstitute.org/gsea/msigdb/cards/GOMF_G_PROTEIN_BETA_SUBUNIT_BINDING.html","GOMF_G_PROTEIN_BETA_SUBUNIT_BINDING")</f>
        <v>GOMF_G_PROTEIN_BETA_SUBUNIT_BINDING</v>
      </c>
      <c r="C1433" s="4">
        <v>23</v>
      </c>
      <c r="D1433" s="3">
        <v>1.5269653000000001</v>
      </c>
      <c r="E1433" s="1">
        <v>4.770017E-2</v>
      </c>
      <c r="F1433" s="2">
        <v>5.9069129999999997E-2</v>
      </c>
    </row>
    <row r="1434" spans="1:6" x14ac:dyDescent="0.25">
      <c r="A1434" t="s">
        <v>6</v>
      </c>
      <c r="B1434" s="5" t="str">
        <f>HYPERLINK("http://www.broadinstitute.org/gsea/msigdb/cards/GOBP_RESPONSE_TO_NITRIC_OXIDE.html","GOBP_RESPONSE_TO_NITRIC_OXIDE")</f>
        <v>GOBP_RESPONSE_TO_NITRIC_OXIDE</v>
      </c>
      <c r="C1434" s="4">
        <v>17</v>
      </c>
      <c r="D1434" s="3">
        <v>1.5267482000000001</v>
      </c>
      <c r="E1434" s="1">
        <v>4.9235991999999999E-2</v>
      </c>
      <c r="F1434" s="2">
        <v>5.9129960000000002E-2</v>
      </c>
    </row>
    <row r="1435" spans="1:6" x14ac:dyDescent="0.25">
      <c r="A1435" t="s">
        <v>6</v>
      </c>
      <c r="B1435" s="5" t="str">
        <f>HYPERLINK("http://www.broadinstitute.org/gsea/msigdb/cards/GOBP_NEGATIVE_REGULATION_OF_CELL_MATRIX_ADHESION.html","GOBP_NEGATIVE_REGULATION_OF_CELL_MATRIX_ADHESION")</f>
        <v>GOBP_NEGATIVE_REGULATION_OF_CELL_MATRIX_ADHESION</v>
      </c>
      <c r="C1435" s="4">
        <v>37</v>
      </c>
      <c r="D1435" s="3">
        <v>1.5264848</v>
      </c>
      <c r="E1435" s="1">
        <v>2.1035598999999999E-2</v>
      </c>
      <c r="F1435" s="2">
        <v>5.9208480000000001E-2</v>
      </c>
    </row>
    <row r="1436" spans="1:6" x14ac:dyDescent="0.25">
      <c r="A1436" t="s">
        <v>6</v>
      </c>
      <c r="B1436" s="5" t="str">
        <f>HYPERLINK("http://www.broadinstitute.org/gsea/msigdb/cards/GOBP_NUCLEOSIDE_CATABOLIC_PROCESS.html","GOBP_NUCLEOSIDE_CATABOLIC_PROCESS")</f>
        <v>GOBP_NUCLEOSIDE_CATABOLIC_PROCESS</v>
      </c>
      <c r="C1436" s="4">
        <v>21</v>
      </c>
      <c r="D1436" s="3">
        <v>1.5254049999999999</v>
      </c>
      <c r="E1436" s="1">
        <v>3.2815200000000003E-2</v>
      </c>
      <c r="F1436" s="2">
        <v>5.9709775999999999E-2</v>
      </c>
    </row>
    <row r="1437" spans="1:6" x14ac:dyDescent="0.25">
      <c r="A1437" t="s">
        <v>6</v>
      </c>
      <c r="B1437" s="5" t="str">
        <f>HYPERLINK("http://www.broadinstitute.org/gsea/msigdb/cards/GOBP_REGULATION_OF_EPITHELIAL_CELL_PROLIFERATION.html","GOBP_REGULATION_OF_EPITHELIAL_CELL_PROLIFERATION")</f>
        <v>GOBP_REGULATION_OF_EPITHELIAL_CELL_PROLIFERATION</v>
      </c>
      <c r="C1437" s="4">
        <v>412</v>
      </c>
      <c r="D1437" s="3">
        <v>1.5251998</v>
      </c>
      <c r="E1437" s="1">
        <v>0</v>
      </c>
      <c r="F1437" s="2">
        <v>5.9762507999999999E-2</v>
      </c>
    </row>
    <row r="1438" spans="1:6" x14ac:dyDescent="0.25">
      <c r="A1438" t="s">
        <v>6</v>
      </c>
      <c r="B1438" s="5" t="str">
        <f>HYPERLINK("http://www.broadinstitute.org/gsea/msigdb/cards/GOBP_RESPONSE_TO_ANGIOTENSIN.html","GOBP_RESPONSE_TO_ANGIOTENSIN")</f>
        <v>GOBP_RESPONSE_TO_ANGIOTENSIN</v>
      </c>
      <c r="C1438" s="4">
        <v>32</v>
      </c>
      <c r="D1438" s="3">
        <v>1.5251170000000001</v>
      </c>
      <c r="E1438" s="1">
        <v>1.8032787000000002E-2</v>
      </c>
      <c r="F1438" s="2">
        <v>5.9763030000000002E-2</v>
      </c>
    </row>
    <row r="1439" spans="1:6" x14ac:dyDescent="0.25">
      <c r="A1439" t="s">
        <v>6</v>
      </c>
      <c r="B1439" s="5" t="str">
        <f>HYPERLINK("http://www.broadinstitute.org/gsea/msigdb/cards/GOBP_CELLULAR_RESPONSE_TO_CORTICOSTEROID_STIMULUS.html","GOBP_CELLULAR_RESPONSE_TO_CORTICOSTEROID_STIMULUS")</f>
        <v>GOBP_CELLULAR_RESPONSE_TO_CORTICOSTEROID_STIMULUS</v>
      </c>
      <c r="C1439" s="4">
        <v>58</v>
      </c>
      <c r="D1439" s="3">
        <v>1.5242875</v>
      </c>
      <c r="E1439" s="1">
        <v>1.1146497E-2</v>
      </c>
      <c r="F1439" s="2">
        <v>6.0124070000000002E-2</v>
      </c>
    </row>
    <row r="1440" spans="1:6" x14ac:dyDescent="0.25">
      <c r="A1440" t="s">
        <v>6</v>
      </c>
      <c r="B1440" s="5" t="str">
        <f>HYPERLINK("http://www.broadinstitute.org/gsea/msigdb/cards/GOBP_VESICLE_ORGANIZATION.html","GOBP_VESICLE_ORGANIZATION")</f>
        <v>GOBP_VESICLE_ORGANIZATION</v>
      </c>
      <c r="C1440" s="4">
        <v>354</v>
      </c>
      <c r="D1440" s="3">
        <v>1.5238468999999999</v>
      </c>
      <c r="E1440" s="1">
        <v>0</v>
      </c>
      <c r="F1440" s="2">
        <v>6.0299977999999997E-2</v>
      </c>
    </row>
    <row r="1441" spans="1:6" x14ac:dyDescent="0.25">
      <c r="A1441" t="s">
        <v>6</v>
      </c>
      <c r="B1441" s="5" t="str">
        <f>HYPERLINK("http://www.broadinstitute.org/gsea/msigdb/cards/GOBP_KILLING_BY_HOST_OF_SYMBIONT_CELLS.html","GOBP_KILLING_BY_HOST_OF_SYMBIONT_CELLS")</f>
        <v>GOBP_KILLING_BY_HOST_OF_SYMBIONT_CELLS</v>
      </c>
      <c r="C1441" s="4">
        <v>22</v>
      </c>
      <c r="D1441" s="3">
        <v>1.5236689999999999</v>
      </c>
      <c r="E1441" s="1">
        <v>4.1742288000000002E-2</v>
      </c>
      <c r="F1441" s="2">
        <v>6.0348430000000002E-2</v>
      </c>
    </row>
    <row r="1442" spans="1:6" x14ac:dyDescent="0.25">
      <c r="A1442" t="s">
        <v>8</v>
      </c>
      <c r="B1442" s="5" t="str">
        <f>HYPERLINK("http://www.broadinstitute.org/gsea/msigdb/cards/GOMF_PROTEIN_PHOSPHATASE_BINDING.html","GOMF_PROTEIN_PHOSPHATASE_BINDING")</f>
        <v>GOMF_PROTEIN_PHOSPHATASE_BINDING</v>
      </c>
      <c r="C1442" s="4">
        <v>179</v>
      </c>
      <c r="D1442" s="3">
        <v>1.5228398999999999</v>
      </c>
      <c r="E1442" s="1">
        <v>1.4492754E-3</v>
      </c>
      <c r="F1442" s="2">
        <v>6.0716520000000003E-2</v>
      </c>
    </row>
    <row r="1443" spans="1:6" x14ac:dyDescent="0.25">
      <c r="A1443" t="s">
        <v>6</v>
      </c>
      <c r="B1443" s="5" t="str">
        <f>HYPERLINK("http://www.broadinstitute.org/gsea/msigdb/cards/GOBP_ADENYLATE_CYCLASE_MODULATING_G_PROTEIN_COUPLED_RECEPTOR_SIGNALING_PATHWAY.html","GOBP_ADENYLATE_CYCLASE_MODULATING_G_PROTEIN_COUPLED_RECEPTOR_SIGNALING_PATHWAY")</f>
        <v>GOBP_ADENYLATE_CYCLASE_MODULATING_G_PROTEIN_COUPLED_RECEPTOR_SIGNALING_PATHWAY</v>
      </c>
      <c r="C1443" s="4">
        <v>222</v>
      </c>
      <c r="D1443" s="3">
        <v>1.5227705</v>
      </c>
      <c r="E1443" s="1">
        <v>0</v>
      </c>
      <c r="F1443" s="2">
        <v>6.0696222000000001E-2</v>
      </c>
    </row>
    <row r="1444" spans="1:6" x14ac:dyDescent="0.25">
      <c r="A1444" t="s">
        <v>6</v>
      </c>
      <c r="B1444" s="5" t="str">
        <f>HYPERLINK("http://www.broadinstitute.org/gsea/msigdb/cards/GOBP_CARBOHYDRATE_TRANSPORT.html","GOBP_CARBOHYDRATE_TRANSPORT")</f>
        <v>GOBP_CARBOHYDRATE_TRANSPORT</v>
      </c>
      <c r="C1444" s="4">
        <v>150</v>
      </c>
      <c r="D1444" s="3">
        <v>1.5226012</v>
      </c>
      <c r="E1444" s="1">
        <v>2.9069767000000002E-3</v>
      </c>
      <c r="F1444" s="2">
        <v>6.0733835999999999E-2</v>
      </c>
    </row>
    <row r="1445" spans="1:6" x14ac:dyDescent="0.25">
      <c r="A1445" t="s">
        <v>6</v>
      </c>
      <c r="B1445" s="5" t="str">
        <f>HYPERLINK("http://www.broadinstitute.org/gsea/msigdb/cards/GOBP_COLLAGEN_BIOSYNTHETIC_PROCESS.html","GOBP_COLLAGEN_BIOSYNTHETIC_PROCESS")</f>
        <v>GOBP_COLLAGEN_BIOSYNTHETIC_PROCESS</v>
      </c>
      <c r="C1445" s="4">
        <v>65</v>
      </c>
      <c r="D1445" s="3">
        <v>1.5215325</v>
      </c>
      <c r="E1445" s="1">
        <v>9.5541399999999992E-3</v>
      </c>
      <c r="F1445" s="2">
        <v>6.1204550000000003E-2</v>
      </c>
    </row>
    <row r="1446" spans="1:6" x14ac:dyDescent="0.25">
      <c r="A1446" t="s">
        <v>7</v>
      </c>
      <c r="B1446" s="5" t="str">
        <f>HYPERLINK("http://www.broadinstitute.org/gsea/msigdb/cards/GOCC_PLATELET_ALPHA_GRANULE.html","GOCC_PLATELET_ALPHA_GRANULE")</f>
        <v>GOCC_PLATELET_ALPHA_GRANULE</v>
      </c>
      <c r="C1446" s="4">
        <v>20</v>
      </c>
      <c r="D1446" s="3">
        <v>1.5212853</v>
      </c>
      <c r="E1446" s="1">
        <v>3.2646050000000003E-2</v>
      </c>
      <c r="F1446" s="2">
        <v>6.1270956000000001E-2</v>
      </c>
    </row>
    <row r="1447" spans="1:6" x14ac:dyDescent="0.25">
      <c r="A1447" t="s">
        <v>6</v>
      </c>
      <c r="B1447" s="5" t="str">
        <f>HYPERLINK("http://www.broadinstitute.org/gsea/msigdb/cards/GOBP_RESPONSE_TO_TOPOLOGICALLY_INCORRECT_PROTEIN.html","GOBP_RESPONSE_TO_TOPOLOGICALLY_INCORRECT_PROTEIN")</f>
        <v>GOBP_RESPONSE_TO_TOPOLOGICALLY_INCORRECT_PROTEIN</v>
      </c>
      <c r="C1447" s="4">
        <v>132</v>
      </c>
      <c r="D1447" s="3">
        <v>1.5205796</v>
      </c>
      <c r="E1447" s="1">
        <v>2.9895365999999999E-3</v>
      </c>
      <c r="F1447" s="2">
        <v>6.1590093999999998E-2</v>
      </c>
    </row>
    <row r="1448" spans="1:6" x14ac:dyDescent="0.25">
      <c r="A1448" t="s">
        <v>7</v>
      </c>
      <c r="B1448" s="5" t="str">
        <f>HYPERLINK("http://www.broadinstitute.org/gsea/msigdb/cards/GOCC_EXTRINSIC_COMPONENT_OF_MEMBRANE.html","GOCC_EXTRINSIC_COMPONENT_OF_MEMBRANE")</f>
        <v>GOCC_EXTRINSIC_COMPONENT_OF_MEMBRANE</v>
      </c>
      <c r="C1448" s="4">
        <v>222</v>
      </c>
      <c r="D1448" s="3">
        <v>1.5202985</v>
      </c>
      <c r="E1448" s="1">
        <v>2.7247956000000001E-3</v>
      </c>
      <c r="F1448" s="2">
        <v>6.1686892E-2</v>
      </c>
    </row>
    <row r="1449" spans="1:6" x14ac:dyDescent="0.25">
      <c r="A1449" t="s">
        <v>6</v>
      </c>
      <c r="B1449" s="5" t="str">
        <f>HYPERLINK("http://www.broadinstitute.org/gsea/msigdb/cards/GOBP_PEPTIDE_CROSS_LINKING.html","GOBP_PEPTIDE_CROSS_LINKING")</f>
        <v>GOBP_PEPTIDE_CROSS_LINKING</v>
      </c>
      <c r="C1449" s="4">
        <v>33</v>
      </c>
      <c r="D1449" s="3">
        <v>1.5200826999999999</v>
      </c>
      <c r="E1449" s="1">
        <v>1.6835017000000001E-2</v>
      </c>
      <c r="F1449" s="2">
        <v>6.1754264000000003E-2</v>
      </c>
    </row>
    <row r="1450" spans="1:6" x14ac:dyDescent="0.25">
      <c r="A1450" t="s">
        <v>8</v>
      </c>
      <c r="B1450" s="5" t="str">
        <f>HYPERLINK("http://www.broadinstitute.org/gsea/msigdb/cards/GOMF_HYDROLASE_ACTIVITY_ACTING_ON_GLYCOSYL_BONDS.html","GOMF_HYDROLASE_ACTIVITY_ACTING_ON_GLYCOSYL_BONDS")</f>
        <v>GOMF_HYDROLASE_ACTIVITY_ACTING_ON_GLYCOSYL_BONDS</v>
      </c>
      <c r="C1450" s="4">
        <v>124</v>
      </c>
      <c r="D1450" s="3">
        <v>1.5200429</v>
      </c>
      <c r="E1450" s="1">
        <v>7.1839080000000001E-3</v>
      </c>
      <c r="F1450" s="2">
        <v>6.1731769999999998E-2</v>
      </c>
    </row>
    <row r="1451" spans="1:6" x14ac:dyDescent="0.25">
      <c r="A1451" t="s">
        <v>6</v>
      </c>
      <c r="B1451" s="5" t="str">
        <f>HYPERLINK("http://www.broadinstitute.org/gsea/msigdb/cards/GOBP_ENDODERMAL_CELL_DIFFERENTIATION.html","GOBP_ENDODERMAL_CELL_DIFFERENTIATION")</f>
        <v>GOBP_ENDODERMAL_CELL_DIFFERENTIATION</v>
      </c>
      <c r="C1451" s="4">
        <v>31</v>
      </c>
      <c r="D1451" s="3">
        <v>1.5196109</v>
      </c>
      <c r="E1451" s="1">
        <v>3.4246575000000001E-2</v>
      </c>
      <c r="F1451" s="2">
        <v>6.1920973999999997E-2</v>
      </c>
    </row>
    <row r="1452" spans="1:6" x14ac:dyDescent="0.25">
      <c r="A1452" t="s">
        <v>6</v>
      </c>
      <c r="B1452" s="5" t="str">
        <f>HYPERLINK("http://www.broadinstitute.org/gsea/msigdb/cards/GOBP_POSITIVE_REGULATION_OF_EPITHELIAL_CELL_PROLIFERATION.html","GOBP_POSITIVE_REGULATION_OF_EPITHELIAL_CELL_PROLIFERATION")</f>
        <v>GOBP_POSITIVE_REGULATION_OF_EPITHELIAL_CELL_PROLIFERATION</v>
      </c>
      <c r="C1452" s="4">
        <v>226</v>
      </c>
      <c r="D1452" s="3">
        <v>1.5192224000000001</v>
      </c>
      <c r="E1452" s="1">
        <v>1.3947001000000001E-3</v>
      </c>
      <c r="F1452" s="2">
        <v>6.2047932E-2</v>
      </c>
    </row>
    <row r="1453" spans="1:6" x14ac:dyDescent="0.25">
      <c r="A1453" t="s">
        <v>6</v>
      </c>
      <c r="B1453" s="5" t="str">
        <f>HYPERLINK("http://www.broadinstitute.org/gsea/msigdb/cards/GOBP_PURINE_RIBONUCLEOTIDE_SALVAGE.html","GOBP_PURINE_RIBONUCLEOTIDE_SALVAGE")</f>
        <v>GOBP_PURINE_RIBONUCLEOTIDE_SALVAGE</v>
      </c>
      <c r="C1453" s="4">
        <v>16</v>
      </c>
      <c r="D1453" s="3">
        <v>1.5191155999999999</v>
      </c>
      <c r="E1453" s="1">
        <v>4.2881645000000003E-2</v>
      </c>
      <c r="F1453" s="2">
        <v>6.2050708000000003E-2</v>
      </c>
    </row>
    <row r="1454" spans="1:6" x14ac:dyDescent="0.25">
      <c r="A1454" t="s">
        <v>8</v>
      </c>
      <c r="B1454" s="5" t="str">
        <f>HYPERLINK("http://www.broadinstitute.org/gsea/msigdb/cards/GOMF_G_PROTEIN_COUPLED_RECEPTOR_BINDING.html","GOMF_G_PROTEIN_COUPLED_RECEPTOR_BINDING")</f>
        <v>GOMF_G_PROTEIN_COUPLED_RECEPTOR_BINDING</v>
      </c>
      <c r="C1454" s="4">
        <v>298</v>
      </c>
      <c r="D1454" s="3">
        <v>1.5187936</v>
      </c>
      <c r="E1454" s="1">
        <v>0</v>
      </c>
      <c r="F1454" s="2">
        <v>6.2156342000000003E-2</v>
      </c>
    </row>
    <row r="1455" spans="1:6" x14ac:dyDescent="0.25">
      <c r="A1455" t="s">
        <v>6</v>
      </c>
      <c r="B1455" s="5" t="str">
        <f>HYPERLINK("http://www.broadinstitute.org/gsea/msigdb/cards/GOBP_POSITIVE_REGULATION_OF_LIPID_METABOLIC_PROCESS.html","GOBP_POSITIVE_REGULATION_OF_LIPID_METABOLIC_PROCESS")</f>
        <v>GOBP_POSITIVE_REGULATION_OF_LIPID_METABOLIC_PROCESS</v>
      </c>
      <c r="C1455" s="4">
        <v>170</v>
      </c>
      <c r="D1455" s="3">
        <v>1.5167866000000001</v>
      </c>
      <c r="E1455" s="1">
        <v>2.8449501999999998E-3</v>
      </c>
      <c r="F1455" s="2">
        <v>6.3176490000000002E-2</v>
      </c>
    </row>
    <row r="1456" spans="1:6" x14ac:dyDescent="0.25">
      <c r="A1456" t="s">
        <v>7</v>
      </c>
      <c r="B1456" s="5" t="str">
        <f>HYPERLINK("http://www.broadinstitute.org/gsea/msigdb/cards/GOCC_CIS_GOLGI_NETWORK.html","GOCC_CIS_GOLGI_NETWORK")</f>
        <v>GOCC_CIS_GOLGI_NETWORK</v>
      </c>
      <c r="C1456" s="4">
        <v>57</v>
      </c>
      <c r="D1456" s="3">
        <v>1.5161344999999999</v>
      </c>
      <c r="E1456" s="1">
        <v>1.52207E-2</v>
      </c>
      <c r="F1456" s="2">
        <v>6.3462295000000002E-2</v>
      </c>
    </row>
    <row r="1457" spans="1:6" x14ac:dyDescent="0.25">
      <c r="A1457" t="s">
        <v>6</v>
      </c>
      <c r="B1457" s="5" t="str">
        <f>HYPERLINK("http://www.broadinstitute.org/gsea/msigdb/cards/GOBP_PLATELET_DENSE_GRANULE_ORGANIZATION.html","GOBP_PLATELET_DENSE_GRANULE_ORGANIZATION")</f>
        <v>GOBP_PLATELET_DENSE_GRANULE_ORGANIZATION</v>
      </c>
      <c r="C1457" s="4">
        <v>21</v>
      </c>
      <c r="D1457" s="3">
        <v>1.5159450000000001</v>
      </c>
      <c r="E1457" s="1">
        <v>4.7377325999999997E-2</v>
      </c>
      <c r="F1457" s="2">
        <v>6.3509629999999997E-2</v>
      </c>
    </row>
    <row r="1458" spans="1:6" x14ac:dyDescent="0.25">
      <c r="A1458" t="s">
        <v>6</v>
      </c>
      <c r="B1458" s="5" t="str">
        <f>HYPERLINK("http://www.broadinstitute.org/gsea/msigdb/cards/GOBP_POSITIVE_REGULATION_OF_RECEPTOR_INTERNALIZATION.html","GOBP_POSITIVE_REGULATION_OF_RECEPTOR_INTERNALIZATION")</f>
        <v>GOBP_POSITIVE_REGULATION_OF_RECEPTOR_INTERNALIZATION</v>
      </c>
      <c r="C1458" s="4">
        <v>35</v>
      </c>
      <c r="D1458" s="3">
        <v>1.5159444</v>
      </c>
      <c r="E1458" s="1">
        <v>3.5294119999999998E-2</v>
      </c>
      <c r="F1458" s="2">
        <v>6.3465980000000005E-2</v>
      </c>
    </row>
    <row r="1459" spans="1:6" x14ac:dyDescent="0.25">
      <c r="A1459" t="s">
        <v>10</v>
      </c>
      <c r="B1459" s="5" t="str">
        <f>HYPERLINK("http://www.broadinstitute.org/gsea/msigdb/cards/REACTOME_APOPTOTIC_CLEAVAGE_OF_CELLULAR_PROTEINS.html","REACTOME_APOPTOTIC_CLEAVAGE_OF_CELLULAR_PROTEINS")</f>
        <v>REACTOME_APOPTOTIC_CLEAVAGE_OF_CELLULAR_PROTEINS</v>
      </c>
      <c r="C1459" s="4">
        <v>37</v>
      </c>
      <c r="D1459" s="3">
        <v>1.5151713</v>
      </c>
      <c r="E1459" s="1">
        <v>2.0134227000000001E-2</v>
      </c>
      <c r="F1459" s="2">
        <v>6.3786609999999994E-2</v>
      </c>
    </row>
    <row r="1460" spans="1:6" x14ac:dyDescent="0.25">
      <c r="A1460" t="s">
        <v>6</v>
      </c>
      <c r="B1460" s="5" t="str">
        <f>HYPERLINK("http://www.broadinstitute.org/gsea/msigdb/cards/GOBP_AMINOGLYCAN_CATABOLIC_PROCESS.html","GOBP_AMINOGLYCAN_CATABOLIC_PROCESS")</f>
        <v>GOBP_AMINOGLYCAN_CATABOLIC_PROCESS</v>
      </c>
      <c r="C1460" s="4">
        <v>37</v>
      </c>
      <c r="D1460" s="3">
        <v>1.5148116</v>
      </c>
      <c r="E1460" s="1">
        <v>2.0477815999999999E-2</v>
      </c>
      <c r="F1460" s="2">
        <v>6.3932344000000002E-2</v>
      </c>
    </row>
    <row r="1461" spans="1:6" x14ac:dyDescent="0.25">
      <c r="A1461" t="s">
        <v>6</v>
      </c>
      <c r="B1461" s="5" t="str">
        <f>HYPERLINK("http://www.broadinstitute.org/gsea/msigdb/cards/GOBP_PROTEIN_NITROSYLATION.html","GOBP_PROTEIN_NITROSYLATION")</f>
        <v>GOBP_PROTEIN_NITROSYLATION</v>
      </c>
      <c r="C1461" s="4">
        <v>15</v>
      </c>
      <c r="D1461" s="3">
        <v>1.5145447999999999</v>
      </c>
      <c r="E1461" s="1">
        <v>4.7619050000000003E-2</v>
      </c>
      <c r="F1461" s="2">
        <v>6.4037114000000006E-2</v>
      </c>
    </row>
    <row r="1462" spans="1:6" x14ac:dyDescent="0.25">
      <c r="A1462" t="s">
        <v>6</v>
      </c>
      <c r="B1462" s="5" t="str">
        <f>HYPERLINK("http://www.broadinstitute.org/gsea/msigdb/cards/GOBP_G_PROTEIN_COUPLED_RECEPTOR_SIGNALING_PATHWAY_INVOLVED_IN_HEART_PROCESS.html","GOBP_G_PROTEIN_COUPLED_RECEPTOR_SIGNALING_PATHWAY_INVOLVED_IN_HEART_PROCESS")</f>
        <v>GOBP_G_PROTEIN_COUPLED_RECEPTOR_SIGNALING_PATHWAY_INVOLVED_IN_HEART_PROCESS</v>
      </c>
      <c r="C1462" s="4">
        <v>16</v>
      </c>
      <c r="D1462" s="3">
        <v>1.5143977</v>
      </c>
      <c r="E1462" s="1">
        <v>3.1034483000000002E-2</v>
      </c>
      <c r="F1462" s="2">
        <v>6.406829E-2</v>
      </c>
    </row>
    <row r="1463" spans="1:6" x14ac:dyDescent="0.25">
      <c r="A1463" t="s">
        <v>6</v>
      </c>
      <c r="B1463" s="5" t="str">
        <f>HYPERLINK("http://www.broadinstitute.org/gsea/msigdb/cards/GOBP_MELANOSOME_ASSEMBLY.html","GOBP_MELANOSOME_ASSEMBLY")</f>
        <v>GOBP_MELANOSOME_ASSEMBLY</v>
      </c>
      <c r="C1463" s="4">
        <v>19</v>
      </c>
      <c r="D1463" s="3">
        <v>1.5143470000000001</v>
      </c>
      <c r="E1463" s="1">
        <v>2.4350648999999999E-2</v>
      </c>
      <c r="F1463" s="2">
        <v>6.4044476000000003E-2</v>
      </c>
    </row>
    <row r="1464" spans="1:6" x14ac:dyDescent="0.25">
      <c r="A1464" t="s">
        <v>6</v>
      </c>
      <c r="B1464" s="5" t="str">
        <f>HYPERLINK("http://www.broadinstitute.org/gsea/msigdb/cards/GOBP_REGULATION_OF_FATTY_ACID_BIOSYNTHETIC_PROCESS.html","GOBP_REGULATION_OF_FATTY_ACID_BIOSYNTHETIC_PROCESS")</f>
        <v>GOBP_REGULATION_OF_FATTY_ACID_BIOSYNTHETIC_PROCESS</v>
      </c>
      <c r="C1464" s="4">
        <v>50</v>
      </c>
      <c r="D1464" s="3">
        <v>1.5142941000000001</v>
      </c>
      <c r="E1464" s="1">
        <v>1.44E-2</v>
      </c>
      <c r="F1464" s="2">
        <v>6.4032560000000002E-2</v>
      </c>
    </row>
    <row r="1465" spans="1:6" x14ac:dyDescent="0.25">
      <c r="A1465" t="s">
        <v>6</v>
      </c>
      <c r="B1465" s="5" t="str">
        <f>HYPERLINK("http://www.broadinstitute.org/gsea/msigdb/cards/GOBP_GLYCOSAMINOGLYCAN_CATABOLIC_PROCESS.html","GOBP_GLYCOSAMINOGLYCAN_CATABOLIC_PROCESS")</f>
        <v>GOBP_GLYCOSAMINOGLYCAN_CATABOLIC_PROCESS</v>
      </c>
      <c r="C1465" s="4">
        <v>28</v>
      </c>
      <c r="D1465" s="3">
        <v>1.5141289</v>
      </c>
      <c r="E1465" s="1">
        <v>2.1390375E-2</v>
      </c>
      <c r="F1465" s="2">
        <v>6.4073959999999999E-2</v>
      </c>
    </row>
    <row r="1466" spans="1:6" x14ac:dyDescent="0.25">
      <c r="A1466" t="s">
        <v>6</v>
      </c>
      <c r="B1466" s="5" t="str">
        <f>HYPERLINK("http://www.broadinstitute.org/gsea/msigdb/cards/GOBP_INTERLEUKIN_5_PRODUCTION.html","GOBP_INTERLEUKIN_5_PRODUCTION")</f>
        <v>GOBP_INTERLEUKIN_5_PRODUCTION</v>
      </c>
      <c r="C1466" s="4">
        <v>20</v>
      </c>
      <c r="D1466" s="3">
        <v>1.5137967000000001</v>
      </c>
      <c r="E1466" s="1">
        <v>3.2028470000000003E-2</v>
      </c>
      <c r="F1466" s="2">
        <v>6.4211420000000005E-2</v>
      </c>
    </row>
    <row r="1467" spans="1:6" x14ac:dyDescent="0.25">
      <c r="A1467" t="s">
        <v>6</v>
      </c>
      <c r="B1467" s="5" t="str">
        <f>HYPERLINK("http://www.broadinstitute.org/gsea/msigdb/cards/GOBP_REGULATION_OF_RECEPTOR_MEDIATED_ENDOCYTOSIS.html","GOBP_REGULATION_OF_RECEPTOR_MEDIATED_ENDOCYTOSIS")</f>
        <v>GOBP_REGULATION_OF_RECEPTOR_MEDIATED_ENDOCYTOSIS</v>
      </c>
      <c r="C1467" s="4">
        <v>129</v>
      </c>
      <c r="D1467" s="3">
        <v>1.5137004000000001</v>
      </c>
      <c r="E1467" s="1">
        <v>2.9806260000000001E-3</v>
      </c>
      <c r="F1467" s="2">
        <v>6.4219349999999994E-2</v>
      </c>
    </row>
    <row r="1468" spans="1:6" x14ac:dyDescent="0.25">
      <c r="A1468" t="s">
        <v>6</v>
      </c>
      <c r="B1468" s="5" t="str">
        <f>HYPERLINK("http://www.broadinstitute.org/gsea/msigdb/cards/GOBP_VESICLE_TARGETING.html","GOBP_VESICLE_TARGETING")</f>
        <v>GOBP_VESICLE_TARGETING</v>
      </c>
      <c r="C1468" s="4">
        <v>60</v>
      </c>
      <c r="D1468" s="3">
        <v>1.5132538</v>
      </c>
      <c r="E1468" s="1">
        <v>1.4354067E-2</v>
      </c>
      <c r="F1468" s="2">
        <v>6.4418680000000006E-2</v>
      </c>
    </row>
    <row r="1469" spans="1:6" x14ac:dyDescent="0.25">
      <c r="A1469" t="s">
        <v>10</v>
      </c>
      <c r="B1469" s="5" t="str">
        <f>HYPERLINK("http://www.broadinstitute.org/gsea/msigdb/cards/REACTOME_ANTIGEN_ACTIVATES_B_CELL_RECEPTOR_BCR_LEADING_TO_GENERATION_OF_SECOND_MESSENGERS.html","REACTOME_ANTIGEN_ACTIVATES_B_CELL_RECEPTOR_BCR_LEADING_TO_GENERATION_OF_SECOND_MESSENGERS")</f>
        <v>REACTOME_ANTIGEN_ACTIVATES_B_CELL_RECEPTOR_BCR_LEADING_TO_GENERATION_OF_SECOND_MESSENGERS</v>
      </c>
      <c r="C1469" s="4">
        <v>24</v>
      </c>
      <c r="D1469" s="3">
        <v>1.5132148000000001</v>
      </c>
      <c r="E1469" s="1">
        <v>3.4423407000000003E-2</v>
      </c>
      <c r="F1469" s="2">
        <v>6.4395439999999998E-2</v>
      </c>
    </row>
    <row r="1470" spans="1:6" x14ac:dyDescent="0.25">
      <c r="A1470" t="s">
        <v>6</v>
      </c>
      <c r="B1470" s="5" t="str">
        <f>HYPERLINK("http://www.broadinstitute.org/gsea/msigdb/cards/GOBP_REGULATION_OF_HORMONE_BIOSYNTHETIC_PROCESS.html","GOBP_REGULATION_OF_HORMONE_BIOSYNTHETIC_PROCESS")</f>
        <v>GOBP_REGULATION_OF_HORMONE_BIOSYNTHETIC_PROCESS</v>
      </c>
      <c r="C1470" s="4">
        <v>29</v>
      </c>
      <c r="D1470" s="3">
        <v>1.5131319999999999</v>
      </c>
      <c r="E1470" s="1">
        <v>2.2471910000000001E-2</v>
      </c>
      <c r="F1470" s="2">
        <v>6.4384780000000003E-2</v>
      </c>
    </row>
    <row r="1471" spans="1:6" x14ac:dyDescent="0.25">
      <c r="A1471" t="s">
        <v>10</v>
      </c>
      <c r="B1471" s="5" t="str">
        <f>HYPERLINK("http://www.broadinstitute.org/gsea/msigdb/cards/REACTOME_REGULATION_OF_TLR_BY_ENDOGENOUS_LIGAND.html","REACTOME_REGULATION_OF_TLR_BY_ENDOGENOUS_LIGAND")</f>
        <v>REACTOME_REGULATION_OF_TLR_BY_ENDOGENOUS_LIGAND</v>
      </c>
      <c r="C1471" s="4">
        <v>19</v>
      </c>
      <c r="D1471" s="3">
        <v>1.5130173</v>
      </c>
      <c r="E1471" s="1">
        <v>4.2087543999999998E-2</v>
      </c>
      <c r="F1471" s="2">
        <v>6.4395460000000002E-2</v>
      </c>
    </row>
    <row r="1472" spans="1:6" x14ac:dyDescent="0.25">
      <c r="A1472" t="s">
        <v>6</v>
      </c>
      <c r="B1472" s="5" t="str">
        <f>HYPERLINK("http://www.broadinstitute.org/gsea/msigdb/cards/GOBP_POSITIVE_REGULATION_OF_SMAD_PROTEIN_SIGNAL_TRANSDUCTION.html","GOBP_POSITIVE_REGULATION_OF_SMAD_PROTEIN_SIGNAL_TRANSDUCTION")</f>
        <v>GOBP_POSITIVE_REGULATION_OF_SMAD_PROTEIN_SIGNAL_TRANSDUCTION</v>
      </c>
      <c r="C1472" s="4">
        <v>26</v>
      </c>
      <c r="D1472" s="3">
        <v>1.5124632</v>
      </c>
      <c r="E1472" s="1">
        <v>3.9087946999999998E-2</v>
      </c>
      <c r="F1472" s="2">
        <v>6.4636185999999998E-2</v>
      </c>
    </row>
    <row r="1473" spans="1:6" x14ac:dyDescent="0.25">
      <c r="A1473" t="s">
        <v>6</v>
      </c>
      <c r="B1473" s="5" t="str">
        <f>HYPERLINK("http://www.broadinstitute.org/gsea/msigdb/cards/GOBP_TRANSMEMBRANE_RECEPTOR_PROTEIN_SERINE_THREONINE_KINASE_SIGNALING_PATHWAY.html","GOBP_TRANSMEMBRANE_RECEPTOR_PROTEIN_SERINE_THREONINE_KINASE_SIGNALING_PATHWAY")</f>
        <v>GOBP_TRANSMEMBRANE_RECEPTOR_PROTEIN_SERINE_THREONINE_KINASE_SIGNALING_PATHWAY</v>
      </c>
      <c r="C1473" s="4">
        <v>374</v>
      </c>
      <c r="D1473" s="3">
        <v>1.5120199999999999</v>
      </c>
      <c r="E1473" s="1">
        <v>0</v>
      </c>
      <c r="F1473" s="2">
        <v>6.4817769999999997E-2</v>
      </c>
    </row>
    <row r="1474" spans="1:6" x14ac:dyDescent="0.25">
      <c r="A1474" t="s">
        <v>6</v>
      </c>
      <c r="B1474" s="5" t="str">
        <f>HYPERLINK("http://www.broadinstitute.org/gsea/msigdb/cards/GOBP_SIGNALING_RECEPTOR_LIGAND_PRECURSOR_PROCESSING.html","GOBP_SIGNALING_RECEPTOR_LIGAND_PRECURSOR_PROCESSING")</f>
        <v>GOBP_SIGNALING_RECEPTOR_LIGAND_PRECURSOR_PROCESSING</v>
      </c>
      <c r="C1474" s="4">
        <v>29</v>
      </c>
      <c r="D1474" s="3">
        <v>1.5119317999999999</v>
      </c>
      <c r="E1474" s="1">
        <v>4.0268455000000002E-2</v>
      </c>
      <c r="F1474" s="2">
        <v>6.4813430000000005E-2</v>
      </c>
    </row>
    <row r="1475" spans="1:6" x14ac:dyDescent="0.25">
      <c r="A1475" t="s">
        <v>6</v>
      </c>
      <c r="B1475" s="5" t="str">
        <f>HYPERLINK("http://www.broadinstitute.org/gsea/msigdb/cards/GOBP_GLOMERULUS_DEVELOPMENT.html","GOBP_GLOMERULUS_DEVELOPMENT")</f>
        <v>GOBP_GLOMERULUS_DEVELOPMENT</v>
      </c>
      <c r="C1475" s="4">
        <v>66</v>
      </c>
      <c r="D1475" s="3">
        <v>1.5117309999999999</v>
      </c>
      <c r="E1475" s="1">
        <v>1.2288786499999999E-2</v>
      </c>
      <c r="F1475" s="2">
        <v>6.4864229999999995E-2</v>
      </c>
    </row>
    <row r="1476" spans="1:6" x14ac:dyDescent="0.25">
      <c r="A1476" t="s">
        <v>6</v>
      </c>
      <c r="B1476" s="5" t="str">
        <f>HYPERLINK("http://www.broadinstitute.org/gsea/msigdb/cards/GOBP_NEGATIVE_REGULATION_OF_PLATELET_ACTIVATION.html","GOBP_NEGATIVE_REGULATION_OF_PLATELET_ACTIVATION")</f>
        <v>GOBP_NEGATIVE_REGULATION_OF_PLATELET_ACTIVATION</v>
      </c>
      <c r="C1476" s="4">
        <v>15</v>
      </c>
      <c r="D1476" s="3">
        <v>1.5116999</v>
      </c>
      <c r="E1476" s="1">
        <v>3.4050178E-2</v>
      </c>
      <c r="F1476" s="2">
        <v>6.4831219999999995E-2</v>
      </c>
    </row>
    <row r="1477" spans="1:6" x14ac:dyDescent="0.25">
      <c r="A1477" t="s">
        <v>10</v>
      </c>
      <c r="B1477" s="5" t="str">
        <f>HYPERLINK("http://www.broadinstitute.org/gsea/msigdb/cards/REACTOME_RHOQ_GTPASE_CYCLE.html","REACTOME_RHOQ_GTPASE_CYCLE")</f>
        <v>REACTOME_RHOQ_GTPASE_CYCLE</v>
      </c>
      <c r="C1477" s="4">
        <v>58</v>
      </c>
      <c r="D1477" s="3">
        <v>1.5112505000000001</v>
      </c>
      <c r="E1477" s="1">
        <v>2.1346469999999999E-2</v>
      </c>
      <c r="F1477" s="2">
        <v>6.5016619999999997E-2</v>
      </c>
    </row>
    <row r="1478" spans="1:6" x14ac:dyDescent="0.25">
      <c r="A1478" t="s">
        <v>10</v>
      </c>
      <c r="B1478" s="5" t="str">
        <f>HYPERLINK("http://www.broadinstitute.org/gsea/msigdb/cards/REACTOME_NOD1_2_SIGNALING_PATHWAY.html","REACTOME_NOD1_2_SIGNALING_PATHWAY")</f>
        <v>REACTOME_NOD1_2_SIGNALING_PATHWAY</v>
      </c>
      <c r="C1478" s="4">
        <v>31</v>
      </c>
      <c r="D1478" s="3">
        <v>1.5095235</v>
      </c>
      <c r="E1478" s="1">
        <v>3.2258064000000003E-2</v>
      </c>
      <c r="F1478" s="2">
        <v>6.5890799999999999E-2</v>
      </c>
    </row>
    <row r="1479" spans="1:6" x14ac:dyDescent="0.25">
      <c r="A1479" t="s">
        <v>6</v>
      </c>
      <c r="B1479" s="5" t="str">
        <f>HYPERLINK("http://www.broadinstitute.org/gsea/msigdb/cards/GOBP_ENDOSOMAL_TRANSPORT.html","GOBP_ENDOSOMAL_TRANSPORT")</f>
        <v>GOBP_ENDOSOMAL_TRANSPORT</v>
      </c>
      <c r="C1479" s="4">
        <v>236</v>
      </c>
      <c r="D1479" s="3">
        <v>1.5091985000000001</v>
      </c>
      <c r="E1479" s="1">
        <v>0</v>
      </c>
      <c r="F1479" s="2">
        <v>6.6018640000000003E-2</v>
      </c>
    </row>
    <row r="1480" spans="1:6" x14ac:dyDescent="0.25">
      <c r="A1480" t="s">
        <v>10</v>
      </c>
      <c r="B1480" s="5" t="str">
        <f>HYPERLINK("http://www.broadinstitute.org/gsea/msigdb/cards/REACTOME_VASOPRESSIN_REGULATES_RENAL_WATER_HOMEOSTASIS_VIA_AQUAPORINS.html","REACTOME_VASOPRESSIN_REGULATES_RENAL_WATER_HOMEOSTASIS_VIA_AQUAPORINS")</f>
        <v>REACTOME_VASOPRESSIN_REGULATES_RENAL_WATER_HOMEOSTASIS_VIA_AQUAPORINS</v>
      </c>
      <c r="C1480" s="4">
        <v>31</v>
      </c>
      <c r="D1480" s="3">
        <v>1.5090892</v>
      </c>
      <c r="E1480" s="1">
        <v>3.4423407000000003E-2</v>
      </c>
      <c r="F1480" s="2">
        <v>6.6029640000000001E-2</v>
      </c>
    </row>
    <row r="1481" spans="1:6" x14ac:dyDescent="0.25">
      <c r="A1481" t="s">
        <v>6</v>
      </c>
      <c r="B1481" s="5" t="str">
        <f>HYPERLINK("http://www.broadinstitute.org/gsea/msigdb/cards/GOBP_REGULATION_OF_WNT_SIGNALING_PATHWAY_PLANAR_CELL_POLARITY_PATHWAY.html","GOBP_REGULATION_OF_WNT_SIGNALING_PATHWAY_PLANAR_CELL_POLARITY_PATHWAY")</f>
        <v>GOBP_REGULATION_OF_WNT_SIGNALING_PATHWAY_PLANAR_CELL_POLARITY_PATHWAY</v>
      </c>
      <c r="C1481" s="4">
        <v>15</v>
      </c>
      <c r="D1481" s="3">
        <v>1.5086149</v>
      </c>
      <c r="E1481" s="1">
        <v>5.0632913000000002E-2</v>
      </c>
      <c r="F1481" s="2">
        <v>6.6247954999999997E-2</v>
      </c>
    </row>
    <row r="1482" spans="1:6" x14ac:dyDescent="0.25">
      <c r="A1482" t="s">
        <v>6</v>
      </c>
      <c r="B1482" s="5" t="str">
        <f>HYPERLINK("http://www.broadinstitute.org/gsea/msigdb/cards/GOBP_REGULATION_OF_AMYLOID_BETA_CLEARANCE.html","GOBP_REGULATION_OF_AMYLOID_BETA_CLEARANCE")</f>
        <v>GOBP_REGULATION_OF_AMYLOID_BETA_CLEARANCE</v>
      </c>
      <c r="C1482" s="4">
        <v>18</v>
      </c>
      <c r="D1482" s="3">
        <v>1.5083637999999999</v>
      </c>
      <c r="E1482" s="1">
        <v>4.6471600000000002E-2</v>
      </c>
      <c r="F1482" s="2">
        <v>6.6341474999999997E-2</v>
      </c>
    </row>
    <row r="1483" spans="1:6" x14ac:dyDescent="0.25">
      <c r="A1483" t="s">
        <v>6</v>
      </c>
      <c r="B1483" s="5" t="str">
        <f>HYPERLINK("http://www.broadinstitute.org/gsea/msigdb/cards/GOBP_NEGATIVE_REGULATION_OF_PROTEIN_MODIFICATION_PROCESS.html","GOBP_NEGATIVE_REGULATION_OF_PROTEIN_MODIFICATION_PROCESS")</f>
        <v>GOBP_NEGATIVE_REGULATION_OF_PROTEIN_MODIFICATION_PROCESS</v>
      </c>
      <c r="C1483" s="4">
        <v>458</v>
      </c>
      <c r="D1483" s="3">
        <v>1.5079426</v>
      </c>
      <c r="E1483" s="1">
        <v>0</v>
      </c>
      <c r="F1483" s="2">
        <v>6.6530000000000006E-2</v>
      </c>
    </row>
    <row r="1484" spans="1:6" x14ac:dyDescent="0.25">
      <c r="A1484" t="s">
        <v>6</v>
      </c>
      <c r="B1484" s="5" t="str">
        <f>HYPERLINK("http://www.broadinstitute.org/gsea/msigdb/cards/GOBP_STEROID_CATABOLIC_PROCESS.html","GOBP_STEROID_CATABOLIC_PROCESS")</f>
        <v>GOBP_STEROID_CATABOLIC_PROCESS</v>
      </c>
      <c r="C1484" s="4">
        <v>23</v>
      </c>
      <c r="D1484" s="3">
        <v>1.5078516</v>
      </c>
      <c r="E1484" s="1">
        <v>3.9451115000000002E-2</v>
      </c>
      <c r="F1484" s="2">
        <v>6.6531809999999997E-2</v>
      </c>
    </row>
    <row r="1485" spans="1:6" x14ac:dyDescent="0.25">
      <c r="A1485" t="s">
        <v>6</v>
      </c>
      <c r="B1485" s="5" t="str">
        <f>HYPERLINK("http://www.broadinstitute.org/gsea/msigdb/cards/GOBP_VESICLE_TETHERING.html","GOBP_VESICLE_TETHERING")</f>
        <v>GOBP_VESICLE_TETHERING</v>
      </c>
      <c r="C1485" s="4">
        <v>31</v>
      </c>
      <c r="D1485" s="3">
        <v>1.5077862</v>
      </c>
      <c r="E1485" s="1">
        <v>3.3450703999999998E-2</v>
      </c>
      <c r="F1485" s="2">
        <v>6.6515420000000006E-2</v>
      </c>
    </row>
    <row r="1486" spans="1:6" x14ac:dyDescent="0.25">
      <c r="A1486" t="s">
        <v>10</v>
      </c>
      <c r="B1486" s="5" t="str">
        <f>HYPERLINK("http://www.broadinstitute.org/gsea/msigdb/cards/REACTOME_DEFENSINS.html","REACTOME_DEFENSINS")</f>
        <v>REACTOME_DEFENSINS</v>
      </c>
      <c r="C1486" s="4">
        <v>16</v>
      </c>
      <c r="D1486" s="3">
        <v>1.5077413</v>
      </c>
      <c r="E1486" s="1">
        <v>4.8042702999999999E-2</v>
      </c>
      <c r="F1486" s="2">
        <v>6.6489610000000005E-2</v>
      </c>
    </row>
    <row r="1487" spans="1:6" x14ac:dyDescent="0.25">
      <c r="A1487" t="s">
        <v>9</v>
      </c>
      <c r="B1487" s="5" t="str">
        <f>HYPERLINK("http://www.broadinstitute.org/gsea/msigdb/cards/HALLMARK_TGF_BETA_SIGNALING.html","HALLMARK_TGF_BETA_SIGNALING")</f>
        <v>HALLMARK_TGF_BETA_SIGNALING</v>
      </c>
      <c r="C1487" s="4">
        <v>53</v>
      </c>
      <c r="D1487" s="3">
        <v>1.5076301000000001</v>
      </c>
      <c r="E1487" s="1">
        <v>2.7607362999999999E-2</v>
      </c>
      <c r="F1487" s="2">
        <v>6.6501089999999999E-2</v>
      </c>
    </row>
    <row r="1488" spans="1:6" x14ac:dyDescent="0.25">
      <c r="A1488" t="s">
        <v>8</v>
      </c>
      <c r="B1488" s="5" t="str">
        <f>HYPERLINK("http://www.broadinstitute.org/gsea/msigdb/cards/GOMF_NADPLUS_BINDING.html","GOMF_NADPLUS_BINDING")</f>
        <v>GOMF_NADPLUS_BINDING</v>
      </c>
      <c r="C1488" s="4">
        <v>16</v>
      </c>
      <c r="D1488" s="3">
        <v>1.5063833</v>
      </c>
      <c r="E1488" s="1">
        <v>4.5703840000000003E-2</v>
      </c>
      <c r="F1488" s="2">
        <v>6.7106929999999995E-2</v>
      </c>
    </row>
    <row r="1489" spans="1:6" x14ac:dyDescent="0.25">
      <c r="A1489" t="s">
        <v>6</v>
      </c>
      <c r="B1489" s="5" t="str">
        <f>HYPERLINK("http://www.broadinstitute.org/gsea/msigdb/cards/GOBP_EPITHELIAL_CELL_PROLIFERATION.html","GOBP_EPITHELIAL_CELL_PROLIFERATION")</f>
        <v>GOBP_EPITHELIAL_CELL_PROLIFERATION</v>
      </c>
      <c r="C1489" s="4">
        <v>496</v>
      </c>
      <c r="D1489" s="3">
        <v>1.5055825</v>
      </c>
      <c r="E1489" s="1">
        <v>0</v>
      </c>
      <c r="F1489" s="2">
        <v>6.7507765999999997E-2</v>
      </c>
    </row>
    <row r="1490" spans="1:6" x14ac:dyDescent="0.25">
      <c r="A1490" t="s">
        <v>6</v>
      </c>
      <c r="B1490" s="5" t="str">
        <f>HYPERLINK("http://www.broadinstitute.org/gsea/msigdb/cards/GOBP_NEGATIVE_REGULATION_OF_PHOSPHORUS_METABOLIC_PROCESS.html","GOBP_NEGATIVE_REGULATION_OF_PHOSPHORUS_METABOLIC_PROCESS")</f>
        <v>GOBP_NEGATIVE_REGULATION_OF_PHOSPHORUS_METABOLIC_PROCESS</v>
      </c>
      <c r="C1490" s="4">
        <v>417</v>
      </c>
      <c r="D1490" s="3">
        <v>1.5054137999999999</v>
      </c>
      <c r="E1490" s="1">
        <v>0</v>
      </c>
      <c r="F1490" s="2">
        <v>6.7551844E-2</v>
      </c>
    </row>
    <row r="1491" spans="1:6" x14ac:dyDescent="0.25">
      <c r="A1491" t="s">
        <v>6</v>
      </c>
      <c r="B1491" s="5" t="str">
        <f>HYPERLINK("http://www.broadinstitute.org/gsea/msigdb/cards/GOBP_REGULATION_OF_T_CELL_APOPTOTIC_PROCESS.html","GOBP_REGULATION_OF_T_CELL_APOPTOTIC_PROCESS")</f>
        <v>GOBP_REGULATION_OF_T_CELL_APOPTOTIC_PROCESS</v>
      </c>
      <c r="C1491" s="4">
        <v>50</v>
      </c>
      <c r="D1491" s="3">
        <v>1.505247</v>
      </c>
      <c r="E1491" s="1">
        <v>1.4900662E-2</v>
      </c>
      <c r="F1491" s="2">
        <v>6.7598870000000005E-2</v>
      </c>
    </row>
    <row r="1492" spans="1:6" x14ac:dyDescent="0.25">
      <c r="A1492" t="s">
        <v>6</v>
      </c>
      <c r="B1492" s="5" t="str">
        <f>HYPERLINK("http://www.broadinstitute.org/gsea/msigdb/cards/GOBP_ANTIBACTERIAL_HUMORAL_RESPONSE.html","GOBP_ANTIBACTERIAL_HUMORAL_RESPONSE")</f>
        <v>GOBP_ANTIBACTERIAL_HUMORAL_RESPONSE</v>
      </c>
      <c r="C1492" s="4">
        <v>63</v>
      </c>
      <c r="D1492" s="3">
        <v>1.5050938</v>
      </c>
      <c r="E1492" s="1">
        <v>2.3809523999999999E-2</v>
      </c>
      <c r="F1492" s="2">
        <v>6.763421E-2</v>
      </c>
    </row>
    <row r="1493" spans="1:6" x14ac:dyDescent="0.25">
      <c r="A1493" t="s">
        <v>6</v>
      </c>
      <c r="B1493" s="5" t="str">
        <f>HYPERLINK("http://www.broadinstitute.org/gsea/msigdb/cards/GOBP_PURINE_CONTAINING_COMPOUND_CATABOLIC_PROCESS.html","GOBP_PURINE_CONTAINING_COMPOUND_CATABOLIC_PROCESS")</f>
        <v>GOBP_PURINE_CONTAINING_COMPOUND_CATABOLIC_PROCESS</v>
      </c>
      <c r="C1493" s="4">
        <v>55</v>
      </c>
      <c r="D1493" s="3">
        <v>1.5048566000000001</v>
      </c>
      <c r="E1493" s="1">
        <v>1.6260162000000002E-2</v>
      </c>
      <c r="F1493" s="2">
        <v>6.7710240000000005E-2</v>
      </c>
    </row>
    <row r="1494" spans="1:6" x14ac:dyDescent="0.25">
      <c r="A1494" t="s">
        <v>6</v>
      </c>
      <c r="B1494" s="5" t="str">
        <f>HYPERLINK("http://www.broadinstitute.org/gsea/msigdb/cards/GOBP_B_CELL_APOPTOTIC_PROCESS.html","GOBP_B_CELL_APOPTOTIC_PROCESS")</f>
        <v>GOBP_B_CELL_APOPTOTIC_PROCESS</v>
      </c>
      <c r="C1494" s="4">
        <v>30</v>
      </c>
      <c r="D1494" s="3">
        <v>1.5045345000000001</v>
      </c>
      <c r="E1494" s="1">
        <v>4.1666667999999997E-2</v>
      </c>
      <c r="F1494" s="2">
        <v>6.7822540000000001E-2</v>
      </c>
    </row>
    <row r="1495" spans="1:6" x14ac:dyDescent="0.25">
      <c r="A1495" t="s">
        <v>8</v>
      </c>
      <c r="B1495" s="5" t="str">
        <f>HYPERLINK("http://www.broadinstitute.org/gsea/msigdb/cards/GOMF_HISTONE_KINASE_ACTIVITY.html","GOMF_HISTONE_KINASE_ACTIVITY")</f>
        <v>GOMF_HISTONE_KINASE_ACTIVITY</v>
      </c>
      <c r="C1495" s="4">
        <v>24</v>
      </c>
      <c r="D1495" s="3">
        <v>1.5044978</v>
      </c>
      <c r="E1495" s="1">
        <v>3.6429870000000003E-2</v>
      </c>
      <c r="F1495" s="2">
        <v>6.7801730000000004E-2</v>
      </c>
    </row>
    <row r="1496" spans="1:6" x14ac:dyDescent="0.25">
      <c r="A1496" t="s">
        <v>6</v>
      </c>
      <c r="B1496" s="5" t="str">
        <f>HYPERLINK("http://www.broadinstitute.org/gsea/msigdb/cards/GOBP_POSITIVE_REGULATION_OF_T_CELL_APOPTOTIC_PROCESS.html","GOBP_POSITIVE_REGULATION_OF_T_CELL_APOPTOTIC_PROCESS")</f>
        <v>GOBP_POSITIVE_REGULATION_OF_T_CELL_APOPTOTIC_PROCESS</v>
      </c>
      <c r="C1496" s="4">
        <v>16</v>
      </c>
      <c r="D1496" s="3">
        <v>1.5044199</v>
      </c>
      <c r="E1496" s="1">
        <v>3.5413153000000003E-2</v>
      </c>
      <c r="F1496" s="2">
        <v>6.7805595999999996E-2</v>
      </c>
    </row>
    <row r="1497" spans="1:6" x14ac:dyDescent="0.25">
      <c r="A1497" t="s">
        <v>6</v>
      </c>
      <c r="B1497" s="5" t="str">
        <f>HYPERLINK("http://www.broadinstitute.org/gsea/msigdb/cards/GOBP_REGULATION_OF_SMOOTH_MUSCLE_CONTRACTION.html","GOBP_REGULATION_OF_SMOOTH_MUSCLE_CONTRACTION")</f>
        <v>GOBP_REGULATION_OF_SMOOTH_MUSCLE_CONTRACTION</v>
      </c>
      <c r="C1497" s="4">
        <v>69</v>
      </c>
      <c r="D1497" s="3">
        <v>1.5042552</v>
      </c>
      <c r="E1497" s="1">
        <v>6.2015504000000003E-3</v>
      </c>
      <c r="F1497" s="2">
        <v>6.7854510000000007E-2</v>
      </c>
    </row>
    <row r="1498" spans="1:6" x14ac:dyDescent="0.25">
      <c r="A1498" t="s">
        <v>6</v>
      </c>
      <c r="B1498" s="5" t="str">
        <f>HYPERLINK("http://www.broadinstitute.org/gsea/msigdb/cards/GOBP_SUPPRESSION_OF_VIRAL_RELEASE_BY_HOST.html","GOBP_SUPPRESSION_OF_VIRAL_RELEASE_BY_HOST")</f>
        <v>GOBP_SUPPRESSION_OF_VIRAL_RELEASE_BY_HOST</v>
      </c>
      <c r="C1498" s="4">
        <v>22</v>
      </c>
      <c r="D1498" s="3">
        <v>1.504095</v>
      </c>
      <c r="E1498" s="1">
        <v>3.8983049999999998E-2</v>
      </c>
      <c r="F1498" s="2">
        <v>6.7906969999999997E-2</v>
      </c>
    </row>
    <row r="1499" spans="1:6" x14ac:dyDescent="0.25">
      <c r="A1499" t="s">
        <v>6</v>
      </c>
      <c r="B1499" s="5" t="str">
        <f>HYPERLINK("http://www.broadinstitute.org/gsea/msigdb/cards/GOBP_REGULATION_OF_AMINO_ACID_TRANSMEMBRANE_TRANSPORT.html","GOBP_REGULATION_OF_AMINO_ACID_TRANSMEMBRANE_TRANSPORT")</f>
        <v>GOBP_REGULATION_OF_AMINO_ACID_TRANSMEMBRANE_TRANSPORT</v>
      </c>
      <c r="C1499" s="4">
        <v>19</v>
      </c>
      <c r="D1499" s="3">
        <v>1.5038419000000001</v>
      </c>
      <c r="E1499" s="1">
        <v>3.8664322000000001E-2</v>
      </c>
      <c r="F1499" s="2">
        <v>6.7990239999999993E-2</v>
      </c>
    </row>
    <row r="1500" spans="1:6" x14ac:dyDescent="0.25">
      <c r="A1500" t="s">
        <v>6</v>
      </c>
      <c r="B1500" s="5" t="str">
        <f>HYPERLINK("http://www.broadinstitute.org/gsea/msigdb/cards/GOBP_GLYCEROPHOSPHOLIPID_CATABOLIC_PROCESS.html","GOBP_GLYCEROPHOSPHOLIPID_CATABOLIC_PROCESS")</f>
        <v>GOBP_GLYCEROPHOSPHOLIPID_CATABOLIC_PROCESS</v>
      </c>
      <c r="C1500" s="4">
        <v>34</v>
      </c>
      <c r="D1500" s="3">
        <v>1.5037141000000001</v>
      </c>
      <c r="E1500" s="1">
        <v>2.0442931000000001E-2</v>
      </c>
      <c r="F1500" s="2">
        <v>6.8012139999999999E-2</v>
      </c>
    </row>
    <row r="1501" spans="1:6" x14ac:dyDescent="0.25">
      <c r="A1501" t="s">
        <v>10</v>
      </c>
      <c r="B1501" s="5" t="str">
        <f>HYPERLINK("http://www.broadinstitute.org/gsea/msigdb/cards/REACTOME_SYNTHESIS_OF_IP3_AND_IP4_IN_THE_CYTOSOL.html","REACTOME_SYNTHESIS_OF_IP3_AND_IP4_IN_THE_CYTOSOL")</f>
        <v>REACTOME_SYNTHESIS_OF_IP3_AND_IP4_IN_THE_CYTOSOL</v>
      </c>
      <c r="C1501" s="4">
        <v>28</v>
      </c>
      <c r="D1501" s="3">
        <v>1.5034683</v>
      </c>
      <c r="E1501" s="1">
        <v>3.1932774999999997E-2</v>
      </c>
      <c r="F1501" s="2">
        <v>6.8094769999999999E-2</v>
      </c>
    </row>
    <row r="1502" spans="1:6" x14ac:dyDescent="0.25">
      <c r="A1502" t="s">
        <v>7</v>
      </c>
      <c r="B1502" s="5" t="str">
        <f>HYPERLINK("http://www.broadinstitute.org/gsea/msigdb/cards/GOCC_RUFFLE_MEMBRANE.html","GOCC_RUFFLE_MEMBRANE")</f>
        <v>GOCC_RUFFLE_MEMBRANE</v>
      </c>
      <c r="C1502" s="4">
        <v>75</v>
      </c>
      <c r="D1502" s="3">
        <v>1.5029854</v>
      </c>
      <c r="E1502" s="1">
        <v>9.5238100000000006E-3</v>
      </c>
      <c r="F1502" s="2">
        <v>6.832249E-2</v>
      </c>
    </row>
    <row r="1503" spans="1:6" x14ac:dyDescent="0.25">
      <c r="A1503" t="s">
        <v>8</v>
      </c>
      <c r="B1503" s="5" t="str">
        <f>HYPERLINK("http://www.broadinstitute.org/gsea/msigdb/cards/GOMF_LIPOPROTEIN_PARTICLE_RECEPTOR_ACTIVITY.html","GOMF_LIPOPROTEIN_PARTICLE_RECEPTOR_ACTIVITY")</f>
        <v>GOMF_LIPOPROTEIN_PARTICLE_RECEPTOR_ACTIVITY</v>
      </c>
      <c r="C1503" s="4">
        <v>17</v>
      </c>
      <c r="D1503" s="3">
        <v>1.5022276999999999</v>
      </c>
      <c r="E1503" s="1">
        <v>6.097561E-2</v>
      </c>
      <c r="F1503" s="2">
        <v>6.8659626000000001E-2</v>
      </c>
    </row>
    <row r="1504" spans="1:6" x14ac:dyDescent="0.25">
      <c r="A1504" t="s">
        <v>6</v>
      </c>
      <c r="B1504" s="5" t="str">
        <f>HYPERLINK("http://www.broadinstitute.org/gsea/msigdb/cards/GOBP_POSITIVE_REGULATION_OF_IMMUNOGLOBULIN_PRODUCTION.html","GOBP_POSITIVE_REGULATION_OF_IMMUNOGLOBULIN_PRODUCTION")</f>
        <v>GOBP_POSITIVE_REGULATION_OF_IMMUNOGLOBULIN_PRODUCTION</v>
      </c>
      <c r="C1504" s="4">
        <v>70</v>
      </c>
      <c r="D1504" s="3">
        <v>1.5021047999999999</v>
      </c>
      <c r="E1504" s="1">
        <v>2.0602219000000001E-2</v>
      </c>
      <c r="F1504" s="2">
        <v>6.8673700000000004E-2</v>
      </c>
    </row>
    <row r="1505" spans="1:6" x14ac:dyDescent="0.25">
      <c r="A1505" t="s">
        <v>7</v>
      </c>
      <c r="B1505" s="5" t="str">
        <f>HYPERLINK("http://www.broadinstitute.org/gsea/msigdb/cards/GOCC_RECYCLING_ENDOSOME_MEMBRANE.html","GOCC_RECYCLING_ENDOSOME_MEMBRANE")</f>
        <v>GOCC_RECYCLING_ENDOSOME_MEMBRANE</v>
      </c>
      <c r="C1505" s="4">
        <v>62</v>
      </c>
      <c r="D1505" s="3">
        <v>1.5018905</v>
      </c>
      <c r="E1505" s="1">
        <v>2.0312500000000001E-2</v>
      </c>
      <c r="F1505" s="2">
        <v>6.8748414999999993E-2</v>
      </c>
    </row>
    <row r="1506" spans="1:6" x14ac:dyDescent="0.25">
      <c r="A1506" t="s">
        <v>5</v>
      </c>
      <c r="B1506" s="5" t="str">
        <f>HYPERLINK("http://www.broadinstitute.org/gsea/msigdb/cards/BIOCARTA_HCMV_PATHWAY.html","BIOCARTA_HCMV_PATHWAY")</f>
        <v>BIOCARTA_HCMV_PATHWAY</v>
      </c>
      <c r="C1506" s="4">
        <v>17</v>
      </c>
      <c r="D1506" s="3">
        <v>1.5015683</v>
      </c>
      <c r="E1506" s="1">
        <v>4.9572650000000003E-2</v>
      </c>
      <c r="F1506" s="2">
        <v>6.8873404999999999E-2</v>
      </c>
    </row>
    <row r="1507" spans="1:6" x14ac:dyDescent="0.25">
      <c r="A1507" t="s">
        <v>8</v>
      </c>
      <c r="B1507" s="5" t="str">
        <f>HYPERLINK("http://www.broadinstitute.org/gsea/msigdb/cards/GOMF_CARBOXYPEPTIDASE_ACTIVITY.html","GOMF_CARBOXYPEPTIDASE_ACTIVITY")</f>
        <v>GOMF_CARBOXYPEPTIDASE_ACTIVITY</v>
      </c>
      <c r="C1507" s="4">
        <v>41</v>
      </c>
      <c r="D1507" s="3">
        <v>1.5015639000000001</v>
      </c>
      <c r="E1507" s="1">
        <v>2.2544282999999998E-2</v>
      </c>
      <c r="F1507" s="2">
        <v>6.8830500000000003E-2</v>
      </c>
    </row>
    <row r="1508" spans="1:6" x14ac:dyDescent="0.25">
      <c r="A1508" t="s">
        <v>5</v>
      </c>
      <c r="B1508" s="5" t="str">
        <f>HYPERLINK("http://www.broadinstitute.org/gsea/msigdb/cards/BIOCARTA_HIVNEF_PATHWAY.html","BIOCARTA_HIVNEF_PATHWAY")</f>
        <v>BIOCARTA_HIVNEF_PATHWAY</v>
      </c>
      <c r="C1508" s="4">
        <v>54</v>
      </c>
      <c r="D1508" s="3">
        <v>1.5014793</v>
      </c>
      <c r="E1508" s="1">
        <v>1.7684887999999999E-2</v>
      </c>
      <c r="F1508" s="2">
        <v>6.8835820000000006E-2</v>
      </c>
    </row>
    <row r="1509" spans="1:6" x14ac:dyDescent="0.25">
      <c r="A1509" t="s">
        <v>8</v>
      </c>
      <c r="B1509" s="5" t="str">
        <f>HYPERLINK("http://www.broadinstitute.org/gsea/msigdb/cards/GOMF_PROTEIN_TYROSINE_KINASE_ACTIVITY.html","GOMF_PROTEIN_TYROSINE_KINASE_ACTIVITY")</f>
        <v>GOMF_PROTEIN_TYROSINE_KINASE_ACTIVITY</v>
      </c>
      <c r="C1509" s="4">
        <v>133</v>
      </c>
      <c r="D1509" s="3">
        <v>1.5010543000000001</v>
      </c>
      <c r="E1509" s="1">
        <v>5.9084194E-3</v>
      </c>
      <c r="F1509" s="2">
        <v>6.9018159999999995E-2</v>
      </c>
    </row>
    <row r="1510" spans="1:6" x14ac:dyDescent="0.25">
      <c r="A1510" t="s">
        <v>6</v>
      </c>
      <c r="B1510" s="5" t="str">
        <f>HYPERLINK("http://www.broadinstitute.org/gsea/msigdb/cards/GOBP_ICOSANOID_BIOSYNTHETIC_PROCESS.html","GOBP_ICOSANOID_BIOSYNTHETIC_PROCESS")</f>
        <v>GOBP_ICOSANOID_BIOSYNTHETIC_PROCESS</v>
      </c>
      <c r="C1510" s="4">
        <v>44</v>
      </c>
      <c r="D1510" s="3">
        <v>1.5006687999999999</v>
      </c>
      <c r="E1510" s="1">
        <v>2.5477706999999999E-2</v>
      </c>
      <c r="F1510" s="2">
        <v>6.9184460000000003E-2</v>
      </c>
    </row>
    <row r="1511" spans="1:6" x14ac:dyDescent="0.25">
      <c r="A1511" t="s">
        <v>6</v>
      </c>
      <c r="B1511" s="5" t="str">
        <f>HYPERLINK("http://www.broadinstitute.org/gsea/msigdb/cards/GOBP_REGULATION_OF_LAMELLIPODIUM_ASSEMBLY.html","GOBP_REGULATION_OF_LAMELLIPODIUM_ASSEMBLY")</f>
        <v>GOBP_REGULATION_OF_LAMELLIPODIUM_ASSEMBLY</v>
      </c>
      <c r="C1511" s="4">
        <v>41</v>
      </c>
      <c r="D1511" s="3">
        <v>1.5004447999999999</v>
      </c>
      <c r="E1511" s="1">
        <v>3.1404956999999997E-2</v>
      </c>
      <c r="F1511" s="2">
        <v>6.9244929999999996E-2</v>
      </c>
    </row>
    <row r="1512" spans="1:6" x14ac:dyDescent="0.25">
      <c r="A1512" t="s">
        <v>10</v>
      </c>
      <c r="B1512" s="5" t="str">
        <f>HYPERLINK("http://www.broadinstitute.org/gsea/msigdb/cards/REACTOME_METABOLISM_OF_WATER_SOLUBLE_VITAMINS_AND_COFACTORS.html","REACTOME_METABOLISM_OF_WATER_SOLUBLE_VITAMINS_AND_COFACTORS")</f>
        <v>REACTOME_METABOLISM_OF_WATER_SOLUBLE_VITAMINS_AND_COFACTORS</v>
      </c>
      <c r="C1512" s="4">
        <v>111</v>
      </c>
      <c r="D1512" s="3">
        <v>1.5003004</v>
      </c>
      <c r="E1512" s="1">
        <v>7.4294204999999997E-3</v>
      </c>
      <c r="F1512" s="2">
        <v>6.9273619999999994E-2</v>
      </c>
    </row>
    <row r="1513" spans="1:6" x14ac:dyDescent="0.25">
      <c r="A1513" t="s">
        <v>10</v>
      </c>
      <c r="B1513" s="5" t="str">
        <f>HYPERLINK("http://www.broadinstitute.org/gsea/msigdb/cards/REACTOME_ROLE_OF_PHOSPHOLIPIDS_IN_PHAGOCYTOSIS.html","REACTOME_ROLE_OF_PHOSPHOLIPIDS_IN_PHAGOCYTOSIS")</f>
        <v>REACTOME_ROLE_OF_PHOSPHOLIPIDS_IN_PHAGOCYTOSIS</v>
      </c>
      <c r="C1513" s="4">
        <v>22</v>
      </c>
      <c r="D1513" s="3">
        <v>1.5002115</v>
      </c>
      <c r="E1513" s="1">
        <v>4.2881645000000003E-2</v>
      </c>
      <c r="F1513" s="2">
        <v>6.9280880000000003E-2</v>
      </c>
    </row>
    <row r="1514" spans="1:6" x14ac:dyDescent="0.25">
      <c r="A1514" t="s">
        <v>7</v>
      </c>
      <c r="B1514" s="5" t="str">
        <f>HYPERLINK("http://www.broadinstitute.org/gsea/msigdb/cards/GOCC_CAVEOLA.html","GOCC_CAVEOLA")</f>
        <v>GOCC_CAVEOLA</v>
      </c>
      <c r="C1514" s="4">
        <v>98</v>
      </c>
      <c r="D1514" s="3">
        <v>1.5000617999999999</v>
      </c>
      <c r="E1514" s="1">
        <v>9.1463410000000005E-3</v>
      </c>
      <c r="F1514" s="2">
        <v>6.9324689999999994E-2</v>
      </c>
    </row>
    <row r="1515" spans="1:6" x14ac:dyDescent="0.25">
      <c r="A1515" t="s">
        <v>6</v>
      </c>
      <c r="B1515" s="5" t="str">
        <f>HYPERLINK("http://www.broadinstitute.org/gsea/msigdb/cards/GOBP_REGULATION_OF_STRESS_ACTIVATED_PROTEIN_KINASE_SIGNALING_CASCADE.html","GOBP_REGULATION_OF_STRESS_ACTIVATED_PROTEIN_KINASE_SIGNALING_CASCADE")</f>
        <v>GOBP_REGULATION_OF_STRESS_ACTIVATED_PROTEIN_KINASE_SIGNALING_CASCADE</v>
      </c>
      <c r="C1515" s="4">
        <v>201</v>
      </c>
      <c r="D1515" s="3">
        <v>1.5000446000000001</v>
      </c>
      <c r="E1515" s="1">
        <v>0</v>
      </c>
      <c r="F1515" s="2">
        <v>6.9286020000000004E-2</v>
      </c>
    </row>
    <row r="1516" spans="1:6" x14ac:dyDescent="0.25">
      <c r="A1516" t="s">
        <v>6</v>
      </c>
      <c r="B1516" s="5" t="str">
        <f>HYPERLINK("http://www.broadinstitute.org/gsea/msigdb/cards/GOBP_NEGATIVE_REGULATION_OF_KINASE_ACTIVITY.html","GOBP_NEGATIVE_REGULATION_OF_KINASE_ACTIVITY")</f>
        <v>GOBP_NEGATIVE_REGULATION_OF_KINASE_ACTIVITY</v>
      </c>
      <c r="C1516" s="4">
        <v>220</v>
      </c>
      <c r="D1516" s="3">
        <v>1.4997331</v>
      </c>
      <c r="E1516" s="1">
        <v>2.7397260000000001E-3</v>
      </c>
      <c r="F1516" s="2">
        <v>6.9404209999999994E-2</v>
      </c>
    </row>
    <row r="1517" spans="1:6" x14ac:dyDescent="0.25">
      <c r="A1517" t="s">
        <v>6</v>
      </c>
      <c r="B1517" s="5" t="str">
        <f>HYPERLINK("http://www.broadinstitute.org/gsea/msigdb/cards/GOBP_ENDOCRINE_HORMONE_SECRETION.html","GOBP_ENDOCRINE_HORMONE_SECRETION")</f>
        <v>GOBP_ENDOCRINE_HORMONE_SECRETION</v>
      </c>
      <c r="C1517" s="4">
        <v>66</v>
      </c>
      <c r="D1517" s="3">
        <v>1.4994860000000001</v>
      </c>
      <c r="E1517" s="1">
        <v>2.2187004E-2</v>
      </c>
      <c r="F1517" s="2">
        <v>6.9493680000000002E-2</v>
      </c>
    </row>
    <row r="1518" spans="1:6" x14ac:dyDescent="0.25">
      <c r="A1518" t="s">
        <v>6</v>
      </c>
      <c r="B1518" s="5" t="str">
        <f>HYPERLINK("http://www.broadinstitute.org/gsea/msigdb/cards/GOBP_REGULATION_OF_RESPONSE_TO_ENDOPLASMIC_RETICULUM_STRESS.html","GOBP_REGULATION_OF_RESPONSE_TO_ENDOPLASMIC_RETICULUM_STRESS")</f>
        <v>GOBP_REGULATION_OF_RESPONSE_TO_ENDOPLASMIC_RETICULUM_STRESS</v>
      </c>
      <c r="C1518" s="4">
        <v>77</v>
      </c>
      <c r="D1518" s="3">
        <v>1.4992108</v>
      </c>
      <c r="E1518" s="1">
        <v>1.3867488000000001E-2</v>
      </c>
      <c r="F1518" s="2">
        <v>6.9612170000000001E-2</v>
      </c>
    </row>
    <row r="1519" spans="1:6" x14ac:dyDescent="0.25">
      <c r="A1519" t="s">
        <v>11</v>
      </c>
      <c r="B1519" s="5" t="str">
        <f>HYPERLINK("http://www.broadinstitute.org/gsea/msigdb/cards/WP_LEPTIN_INSULIN_SIGNALING_OVERLAP.html","WP_LEPTIN_INSULIN_SIGNALING_OVERLAP")</f>
        <v>WP_LEPTIN_INSULIN_SIGNALING_OVERLAP</v>
      </c>
      <c r="C1519" s="4">
        <v>17</v>
      </c>
      <c r="D1519" s="3">
        <v>1.4988754</v>
      </c>
      <c r="E1519" s="1">
        <v>4.7058823999999999E-2</v>
      </c>
      <c r="F1519" s="2">
        <v>6.9742604999999999E-2</v>
      </c>
    </row>
    <row r="1520" spans="1:6" x14ac:dyDescent="0.25">
      <c r="A1520" t="s">
        <v>5</v>
      </c>
      <c r="B1520" s="5" t="str">
        <f>HYPERLINK("http://www.broadinstitute.org/gsea/msigdb/cards/BIOCARTA_STRESS_PATHWAY.html","BIOCARTA_STRESS_PATHWAY")</f>
        <v>BIOCARTA_STRESS_PATHWAY</v>
      </c>
      <c r="C1520" s="4">
        <v>24</v>
      </c>
      <c r="D1520" s="3">
        <v>1.4986377</v>
      </c>
      <c r="E1520" s="1">
        <v>3.6906853000000003E-2</v>
      </c>
      <c r="F1520" s="2">
        <v>6.9837940000000001E-2</v>
      </c>
    </row>
    <row r="1521" spans="1:6" x14ac:dyDescent="0.25">
      <c r="A1521" t="s">
        <v>8</v>
      </c>
      <c r="B1521" s="5" t="str">
        <f>HYPERLINK("http://www.broadinstitute.org/gsea/msigdb/cards/GOMF_ACETYLCHOLINE_RECEPTOR_BINDING.html","GOMF_ACETYLCHOLINE_RECEPTOR_BINDING")</f>
        <v>GOMF_ACETYLCHOLINE_RECEPTOR_BINDING</v>
      </c>
      <c r="C1521" s="4">
        <v>22</v>
      </c>
      <c r="D1521" s="3">
        <v>1.4985039</v>
      </c>
      <c r="E1521" s="1">
        <v>3.2432432999999997E-2</v>
      </c>
      <c r="F1521" s="2">
        <v>6.9859184000000005E-2</v>
      </c>
    </row>
    <row r="1522" spans="1:6" x14ac:dyDescent="0.25">
      <c r="A1522" t="s">
        <v>11</v>
      </c>
      <c r="B1522" s="5" t="str">
        <f>HYPERLINK("http://www.broadinstitute.org/gsea/msigdb/cards/WP_MYOMETRIAL_RELAXATION_AND_CONTRACTION_PATHWAYS.html","WP_MYOMETRIAL_RELAXATION_AND_CONTRACTION_PATHWAYS")</f>
        <v>WP_MYOMETRIAL_RELAXATION_AND_CONTRACTION_PATHWAYS</v>
      </c>
      <c r="C1522" s="4">
        <v>146</v>
      </c>
      <c r="D1522" s="3">
        <v>1.4984245</v>
      </c>
      <c r="E1522" s="1">
        <v>2.9585800000000002E-3</v>
      </c>
      <c r="F1522" s="2">
        <v>6.9855875999999997E-2</v>
      </c>
    </row>
    <row r="1523" spans="1:6" x14ac:dyDescent="0.25">
      <c r="A1523" t="s">
        <v>6</v>
      </c>
      <c r="B1523" s="5" t="str">
        <f>HYPERLINK("http://www.broadinstitute.org/gsea/msigdb/cards/GOBP_POSITIVE_REGULATION_OF_PROTEIN_LOCALIZATION_TO_NUCLEUS.html","GOBP_POSITIVE_REGULATION_OF_PROTEIN_LOCALIZATION_TO_NUCLEUS")</f>
        <v>GOBP_POSITIVE_REGULATION_OF_PROTEIN_LOCALIZATION_TO_NUCLEUS</v>
      </c>
      <c r="C1523" s="4">
        <v>99</v>
      </c>
      <c r="D1523" s="3">
        <v>1.4963930000000001</v>
      </c>
      <c r="E1523" s="1">
        <v>1.5455950000000001E-3</v>
      </c>
      <c r="F1523" s="2">
        <v>7.0923835000000005E-2</v>
      </c>
    </row>
    <row r="1524" spans="1:6" x14ac:dyDescent="0.25">
      <c r="A1524" t="s">
        <v>6</v>
      </c>
      <c r="B1524" s="5" t="str">
        <f>HYPERLINK("http://www.broadinstitute.org/gsea/msigdb/cards/GOBP_NEGATIVE_REGULATION_OF_TRANSPORT.html","GOBP_NEGATIVE_REGULATION_OF_TRANSPORT")</f>
        <v>GOBP_NEGATIVE_REGULATION_OF_TRANSPORT</v>
      </c>
      <c r="C1524" s="4">
        <v>500</v>
      </c>
      <c r="D1524" s="3">
        <v>1.4961092</v>
      </c>
      <c r="E1524" s="1">
        <v>1.2376237E-3</v>
      </c>
      <c r="F1524" s="2">
        <v>7.1041560000000004E-2</v>
      </c>
    </row>
    <row r="1525" spans="1:6" x14ac:dyDescent="0.25">
      <c r="A1525" t="s">
        <v>6</v>
      </c>
      <c r="B1525" s="5" t="str">
        <f>HYPERLINK("http://www.broadinstitute.org/gsea/msigdb/cards/GOBP_RIBONUCLEOSIDE_MONOPHOSPHATE_METABOLIC_PROCESS.html","GOBP_RIBONUCLEOSIDE_MONOPHOSPHATE_METABOLIC_PROCESS")</f>
        <v>GOBP_RIBONUCLEOSIDE_MONOPHOSPHATE_METABOLIC_PROCESS</v>
      </c>
      <c r="C1525" s="4">
        <v>52</v>
      </c>
      <c r="D1525" s="3">
        <v>1.4960542999999999</v>
      </c>
      <c r="E1525" s="1">
        <v>2.2364218000000002E-2</v>
      </c>
      <c r="F1525" s="2">
        <v>7.1019040000000005E-2</v>
      </c>
    </row>
    <row r="1526" spans="1:6" x14ac:dyDescent="0.25">
      <c r="A1526" t="s">
        <v>6</v>
      </c>
      <c r="B1526" s="5" t="str">
        <f>HYPERLINK("http://www.broadinstitute.org/gsea/msigdb/cards/GOBP_EXOCYTOSIS.html","GOBP_EXOCYTOSIS")</f>
        <v>GOBP_EXOCYTOSIS</v>
      </c>
      <c r="C1526" s="4">
        <v>380</v>
      </c>
      <c r="D1526" s="3">
        <v>1.4958125</v>
      </c>
      <c r="E1526" s="1">
        <v>0</v>
      </c>
      <c r="F1526" s="2">
        <v>7.1095586000000002E-2</v>
      </c>
    </row>
    <row r="1527" spans="1:6" x14ac:dyDescent="0.25">
      <c r="A1527" t="s">
        <v>6</v>
      </c>
      <c r="B1527" s="5" t="str">
        <f>HYPERLINK("http://www.broadinstitute.org/gsea/msigdb/cards/GOBP_OVULATION_CYCLE.html","GOBP_OVULATION_CYCLE")</f>
        <v>GOBP_OVULATION_CYCLE</v>
      </c>
      <c r="C1527" s="4">
        <v>66</v>
      </c>
      <c r="D1527" s="3">
        <v>1.4954311</v>
      </c>
      <c r="E1527" s="1">
        <v>1.7268445E-2</v>
      </c>
      <c r="F1527" s="2">
        <v>7.1249380000000001E-2</v>
      </c>
    </row>
    <row r="1528" spans="1:6" x14ac:dyDescent="0.25">
      <c r="A1528" t="s">
        <v>10</v>
      </c>
      <c r="B1528" s="5" t="str">
        <f>HYPERLINK("http://www.broadinstitute.org/gsea/msigdb/cards/REACTOME_SYNTHESIS_OF_PIPS_AT_THE_GOLGI_MEMBRANE.html","REACTOME_SYNTHESIS_OF_PIPS_AT_THE_GOLGI_MEMBRANE")</f>
        <v>REACTOME_SYNTHESIS_OF_PIPS_AT_THE_GOLGI_MEMBRANE</v>
      </c>
      <c r="C1528" s="4">
        <v>17</v>
      </c>
      <c r="D1528" s="3">
        <v>1.4947438</v>
      </c>
      <c r="E1528" s="1">
        <v>4.3478259999999998E-2</v>
      </c>
      <c r="F1528" s="2">
        <v>7.1568919999999994E-2</v>
      </c>
    </row>
    <row r="1529" spans="1:6" x14ac:dyDescent="0.25">
      <c r="A1529" t="s">
        <v>6</v>
      </c>
      <c r="B1529" s="5" t="str">
        <f>HYPERLINK("http://www.broadinstitute.org/gsea/msigdb/cards/GOBP_RENAL_SYSTEM_VASCULATURE_DEVELOPMENT.html","GOBP_RENAL_SYSTEM_VASCULATURE_DEVELOPMENT")</f>
        <v>GOBP_RENAL_SYSTEM_VASCULATURE_DEVELOPMENT</v>
      </c>
      <c r="C1529" s="4">
        <v>27</v>
      </c>
      <c r="D1529" s="3">
        <v>1.4944767999999999</v>
      </c>
      <c r="E1529" s="1">
        <v>4.0421789999999999E-2</v>
      </c>
      <c r="F1529" s="2">
        <v>7.168397E-2</v>
      </c>
    </row>
    <row r="1530" spans="1:6" x14ac:dyDescent="0.25">
      <c r="A1530" t="s">
        <v>6</v>
      </c>
      <c r="B1530" s="5" t="str">
        <f>HYPERLINK("http://www.broadinstitute.org/gsea/msigdb/cards/GOBP_REGULATION_OF_JUN_KINASE_ACTIVITY.html","GOBP_REGULATION_OF_JUN_KINASE_ACTIVITY")</f>
        <v>GOBP_REGULATION_OF_JUN_KINASE_ACTIVITY</v>
      </c>
      <c r="C1530" s="4">
        <v>72</v>
      </c>
      <c r="D1530" s="3">
        <v>1.4940667000000001</v>
      </c>
      <c r="E1530" s="1">
        <v>9.7244740000000003E-3</v>
      </c>
      <c r="F1530" s="2">
        <v>7.1866139999999995E-2</v>
      </c>
    </row>
    <row r="1531" spans="1:6" x14ac:dyDescent="0.25">
      <c r="A1531" t="s">
        <v>5</v>
      </c>
      <c r="B1531" s="5" t="str">
        <f>HYPERLINK("http://www.broadinstitute.org/gsea/msigdb/cards/BIOCARTA_P38MAPK_PATHWAY.html","BIOCARTA_P38MAPK_PATHWAY")</f>
        <v>BIOCARTA_P38MAPK_PATHWAY</v>
      </c>
      <c r="C1531" s="4">
        <v>32</v>
      </c>
      <c r="D1531" s="3">
        <v>1.4933451</v>
      </c>
      <c r="E1531" s="1">
        <v>3.5775130000000002E-2</v>
      </c>
      <c r="F1531" s="2">
        <v>7.2231760000000006E-2</v>
      </c>
    </row>
    <row r="1532" spans="1:6" x14ac:dyDescent="0.25">
      <c r="A1532" t="s">
        <v>6</v>
      </c>
      <c r="B1532" s="5" t="str">
        <f>HYPERLINK("http://www.broadinstitute.org/gsea/msigdb/cards/GOBP_NEGATIVE_REGULATION_OF_MYELOID_CELL_DIFFERENTIATION.html","GOBP_NEGATIVE_REGULATION_OF_MYELOID_CELL_DIFFERENTIATION")</f>
        <v>GOBP_NEGATIVE_REGULATION_OF_MYELOID_CELL_DIFFERENTIATION</v>
      </c>
      <c r="C1532" s="4">
        <v>91</v>
      </c>
      <c r="D1532" s="3">
        <v>1.4924056999999999</v>
      </c>
      <c r="E1532" s="1">
        <v>8.9552234999999997E-3</v>
      </c>
      <c r="F1532" s="2">
        <v>7.270778E-2</v>
      </c>
    </row>
    <row r="1533" spans="1:6" x14ac:dyDescent="0.25">
      <c r="A1533" t="s">
        <v>6</v>
      </c>
      <c r="B1533" s="5" t="str">
        <f>HYPERLINK("http://www.broadinstitute.org/gsea/msigdb/cards/GOBP_NEGATIVE_REGULATION_OF_CELL_SUBSTRATE_JUNCTION_ORGANIZATION.html","GOBP_NEGATIVE_REGULATION_OF_CELL_SUBSTRATE_JUNCTION_ORGANIZATION")</f>
        <v>GOBP_NEGATIVE_REGULATION_OF_CELL_SUBSTRATE_JUNCTION_ORGANIZATION</v>
      </c>
      <c r="C1533" s="4">
        <v>16</v>
      </c>
      <c r="D1533" s="3">
        <v>1.4920302999999999</v>
      </c>
      <c r="E1533" s="1">
        <v>3.3088237E-2</v>
      </c>
      <c r="F1533" s="2">
        <v>7.2873354000000001E-2</v>
      </c>
    </row>
    <row r="1534" spans="1:6" x14ac:dyDescent="0.25">
      <c r="A1534" t="s">
        <v>6</v>
      </c>
      <c r="B1534" s="5" t="str">
        <f>HYPERLINK("http://www.broadinstitute.org/gsea/msigdb/cards/GOBP_HORMONE_BIOSYNTHETIC_PROCESS.html","GOBP_HORMONE_BIOSYNTHETIC_PROCESS")</f>
        <v>GOBP_HORMONE_BIOSYNTHETIC_PROCESS</v>
      </c>
      <c r="C1534" s="4">
        <v>56</v>
      </c>
      <c r="D1534" s="3">
        <v>1.4918062999999999</v>
      </c>
      <c r="E1534" s="1">
        <v>1.7656501000000002E-2</v>
      </c>
      <c r="F1534" s="2">
        <v>7.2958770000000006E-2</v>
      </c>
    </row>
    <row r="1535" spans="1:6" x14ac:dyDescent="0.25">
      <c r="A1535" t="s">
        <v>10</v>
      </c>
      <c r="B1535" s="5" t="str">
        <f>HYPERLINK("http://www.broadinstitute.org/gsea/msigdb/cards/REACTOME_TRANSPORT_TO_THE_GOLGI_AND_SUBSEQUENT_MODIFICATION.html","REACTOME_TRANSPORT_TO_THE_GOLGI_AND_SUBSEQUENT_MODIFICATION")</f>
        <v>REACTOME_TRANSPORT_TO_THE_GOLGI_AND_SUBSEQUENT_MODIFICATION</v>
      </c>
      <c r="C1535" s="4">
        <v>174</v>
      </c>
      <c r="D1535" s="3">
        <v>1.4918035999999999</v>
      </c>
      <c r="E1535" s="1">
        <v>2.9542097E-3</v>
      </c>
      <c r="F1535" s="2">
        <v>7.2913270000000002E-2</v>
      </c>
    </row>
    <row r="1536" spans="1:6" x14ac:dyDescent="0.25">
      <c r="A1536" t="s">
        <v>9</v>
      </c>
      <c r="B1536" s="5" t="str">
        <f>HYPERLINK("http://www.broadinstitute.org/gsea/msigdb/cards/HALLMARK_PI3K_AKT_MTOR_SIGNALING.html","HALLMARK_PI3K_AKT_MTOR_SIGNALING")</f>
        <v>HALLMARK_PI3K_AKT_MTOR_SIGNALING</v>
      </c>
      <c r="C1536" s="4">
        <v>104</v>
      </c>
      <c r="D1536" s="3">
        <v>1.4914761999999999</v>
      </c>
      <c r="E1536" s="1">
        <v>4.3478259999999999E-3</v>
      </c>
      <c r="F1536" s="2">
        <v>7.3058049999999999E-2</v>
      </c>
    </row>
    <row r="1537" spans="1:6" x14ac:dyDescent="0.25">
      <c r="A1537" t="s">
        <v>6</v>
      </c>
      <c r="B1537" s="5" t="str">
        <f>HYPERLINK("http://www.broadinstitute.org/gsea/msigdb/cards/GOBP_RESPONSE_TO_EXTRACELLULAR_STIMULUS.html","GOBP_RESPONSE_TO_EXTRACELLULAR_STIMULUS")</f>
        <v>GOBP_RESPONSE_TO_EXTRACELLULAR_STIMULUS</v>
      </c>
      <c r="C1537" s="4">
        <v>416</v>
      </c>
      <c r="D1537" s="3">
        <v>1.4911441999999999</v>
      </c>
      <c r="E1537" s="1">
        <v>0</v>
      </c>
      <c r="F1537" s="2">
        <v>7.3203149999999995E-2</v>
      </c>
    </row>
    <row r="1538" spans="1:6" x14ac:dyDescent="0.25">
      <c r="A1538" t="s">
        <v>8</v>
      </c>
      <c r="B1538" s="5" t="str">
        <f>HYPERLINK("http://www.broadinstitute.org/gsea/msigdb/cards/GOMF_PROTEIN_SERINE_THREONINE_KINASE_ACTIVATOR_ACTIVITY.html","GOMF_PROTEIN_SERINE_THREONINE_KINASE_ACTIVATOR_ACTIVITY")</f>
        <v>GOMF_PROTEIN_SERINE_THREONINE_KINASE_ACTIVATOR_ACTIVITY</v>
      </c>
      <c r="C1538" s="4">
        <v>63</v>
      </c>
      <c r="D1538" s="3">
        <v>1.4909950000000001</v>
      </c>
      <c r="E1538" s="1">
        <v>1.8808776999999999E-2</v>
      </c>
      <c r="F1538" s="2">
        <v>7.3233049999999994E-2</v>
      </c>
    </row>
    <row r="1539" spans="1:6" x14ac:dyDescent="0.25">
      <c r="A1539" t="s">
        <v>5</v>
      </c>
      <c r="B1539" s="5" t="str">
        <f>HYPERLINK("http://www.broadinstitute.org/gsea/msigdb/cards/BIOCARTA_IL2_PATHWAY.html","BIOCARTA_IL2_PATHWAY")</f>
        <v>BIOCARTA_IL2_PATHWAY</v>
      </c>
      <c r="C1539" s="4">
        <v>23</v>
      </c>
      <c r="D1539" s="3">
        <v>1.4905615999999999</v>
      </c>
      <c r="E1539" s="1">
        <v>3.7225040000000001E-2</v>
      </c>
      <c r="F1539" s="2">
        <v>7.3455690000000004E-2</v>
      </c>
    </row>
    <row r="1540" spans="1:6" x14ac:dyDescent="0.25">
      <c r="A1540" t="s">
        <v>6</v>
      </c>
      <c r="B1540" s="5" t="str">
        <f>HYPERLINK("http://www.broadinstitute.org/gsea/msigdb/cards/GOBP_REGULATION_OF_SYSTEMIC_ARTERIAL_BLOOD_PRESSURE_BY_RENIN_ANGIOTENSIN.html","GOBP_REGULATION_OF_SYSTEMIC_ARTERIAL_BLOOD_PRESSURE_BY_RENIN_ANGIOTENSIN")</f>
        <v>GOBP_REGULATION_OF_SYSTEMIC_ARTERIAL_BLOOD_PRESSURE_BY_RENIN_ANGIOTENSIN</v>
      </c>
      <c r="C1540" s="4">
        <v>29</v>
      </c>
      <c r="D1540" s="3">
        <v>1.4904932</v>
      </c>
      <c r="E1540" s="1">
        <v>5.2991454E-2</v>
      </c>
      <c r="F1540" s="2">
        <v>7.3439599999999994E-2</v>
      </c>
    </row>
    <row r="1541" spans="1:6" x14ac:dyDescent="0.25">
      <c r="A1541" t="s">
        <v>5</v>
      </c>
      <c r="B1541" s="5" t="str">
        <f>HYPERLINK("http://www.broadinstitute.org/gsea/msigdb/cards/BIOCARTA_MTOR_PATHWAY.html","BIOCARTA_MTOR_PATHWAY")</f>
        <v>BIOCARTA_MTOR_PATHWAY</v>
      </c>
      <c r="C1541" s="4">
        <v>19</v>
      </c>
      <c r="D1541" s="3">
        <v>1.4904539999999999</v>
      </c>
      <c r="E1541" s="1">
        <v>5.9753953999999998E-2</v>
      </c>
      <c r="F1541" s="2">
        <v>7.3413690000000004E-2</v>
      </c>
    </row>
    <row r="1542" spans="1:6" x14ac:dyDescent="0.25">
      <c r="A1542" t="s">
        <v>6</v>
      </c>
      <c r="B1542" s="5" t="str">
        <f>HYPERLINK("http://www.broadinstitute.org/gsea/msigdb/cards/GOBP_DETECTION_OF_MECHANICAL_STIMULUS_INVOLVED_IN_SENSORY_PERCEPTION_OF_PAIN.html","GOBP_DETECTION_OF_MECHANICAL_STIMULUS_INVOLVED_IN_SENSORY_PERCEPTION_OF_PAIN")</f>
        <v>GOBP_DETECTION_OF_MECHANICAL_STIMULUS_INVOLVED_IN_SENSORY_PERCEPTION_OF_PAIN</v>
      </c>
      <c r="C1542" s="4">
        <v>25</v>
      </c>
      <c r="D1542" s="3">
        <v>1.4892521999999999</v>
      </c>
      <c r="E1542" s="1">
        <v>4.3333333000000002E-2</v>
      </c>
      <c r="F1542" s="2">
        <v>7.4051500000000006E-2</v>
      </c>
    </row>
    <row r="1543" spans="1:6" x14ac:dyDescent="0.25">
      <c r="A1543" t="s">
        <v>6</v>
      </c>
      <c r="B1543" s="5" t="str">
        <f>HYPERLINK("http://www.broadinstitute.org/gsea/msigdb/cards/GOBP_POSITIVE_REGULATION_OF_JNK_CASCADE.html","GOBP_POSITIVE_REGULATION_OF_JNK_CASCADE")</f>
        <v>GOBP_POSITIVE_REGULATION_OF_JNK_CASCADE</v>
      </c>
      <c r="C1543" s="4">
        <v>94</v>
      </c>
      <c r="D1543" s="3">
        <v>1.4889002</v>
      </c>
      <c r="E1543" s="1">
        <v>1.0920437E-2</v>
      </c>
      <c r="F1543" s="2">
        <v>7.4194759999999998E-2</v>
      </c>
    </row>
    <row r="1544" spans="1:6" x14ac:dyDescent="0.25">
      <c r="A1544" t="s">
        <v>6</v>
      </c>
      <c r="B1544" s="5" t="str">
        <f>HYPERLINK("http://www.broadinstitute.org/gsea/msigdb/cards/GOBP_POSITIVE_REGULATION_OF_LIPASE_ACTIVITY.html","GOBP_POSITIVE_REGULATION_OF_LIPASE_ACTIVITY")</f>
        <v>GOBP_POSITIVE_REGULATION_OF_LIPASE_ACTIVITY</v>
      </c>
      <c r="C1544" s="4">
        <v>58</v>
      </c>
      <c r="D1544" s="3">
        <v>1.4888330000000001</v>
      </c>
      <c r="E1544" s="1">
        <v>2.3622047E-2</v>
      </c>
      <c r="F1544" s="2">
        <v>7.4179664000000006E-2</v>
      </c>
    </row>
    <row r="1545" spans="1:6" x14ac:dyDescent="0.25">
      <c r="A1545" t="s">
        <v>8</v>
      </c>
      <c r="B1545" s="5" t="str">
        <f>HYPERLINK("http://www.broadinstitute.org/gsea/msigdb/cards/GOMF_G_PROTEIN_ALPHA_SUBUNIT_BINDING.html","GOMF_G_PROTEIN_ALPHA_SUBUNIT_BINDING")</f>
        <v>GOMF_G_PROTEIN_ALPHA_SUBUNIT_BINDING</v>
      </c>
      <c r="C1545" s="4">
        <v>42</v>
      </c>
      <c r="D1545" s="3">
        <v>1.4886233</v>
      </c>
      <c r="E1545" s="1">
        <v>3.8720536999999999E-2</v>
      </c>
      <c r="F1545" s="2">
        <v>7.4241699999999994E-2</v>
      </c>
    </row>
    <row r="1546" spans="1:6" x14ac:dyDescent="0.25">
      <c r="A1546" t="s">
        <v>6</v>
      </c>
      <c r="B1546" s="5" t="str">
        <f>HYPERLINK("http://www.broadinstitute.org/gsea/msigdb/cards/GOBP_REGULATION_OF_CELLULAR_PH.html","GOBP_REGULATION_OF_CELLULAR_PH")</f>
        <v>GOBP_REGULATION_OF_CELLULAR_PH</v>
      </c>
      <c r="C1546" s="4">
        <v>89</v>
      </c>
      <c r="D1546" s="3">
        <v>1.4883561999999999</v>
      </c>
      <c r="E1546" s="1">
        <v>1.8292682000000001E-2</v>
      </c>
      <c r="F1546" s="2">
        <v>7.4367779999999994E-2</v>
      </c>
    </row>
    <row r="1547" spans="1:6" x14ac:dyDescent="0.25">
      <c r="A1547" t="s">
        <v>6</v>
      </c>
      <c r="B1547" s="5" t="str">
        <f>HYPERLINK("http://www.broadinstitute.org/gsea/msigdb/cards/GOBP_NEGATIVE_REGULATION_OF_TRANSFERASE_ACTIVITY.html","GOBP_NEGATIVE_REGULATION_OF_TRANSFERASE_ACTIVITY")</f>
        <v>GOBP_NEGATIVE_REGULATION_OF_TRANSFERASE_ACTIVITY</v>
      </c>
      <c r="C1547" s="4">
        <v>253</v>
      </c>
      <c r="D1547" s="3">
        <v>1.4882697</v>
      </c>
      <c r="E1547" s="1">
        <v>0</v>
      </c>
      <c r="F1547" s="2">
        <v>7.4369340000000006E-2</v>
      </c>
    </row>
    <row r="1548" spans="1:6" x14ac:dyDescent="0.25">
      <c r="A1548" t="s">
        <v>6</v>
      </c>
      <c r="B1548" s="5" t="str">
        <f>HYPERLINK("http://www.broadinstitute.org/gsea/msigdb/cards/GOBP_REGULATION_OF_PROTEIN_MATURATION.html","GOBP_REGULATION_OF_PROTEIN_MATURATION")</f>
        <v>GOBP_REGULATION_OF_PROTEIN_MATURATION</v>
      </c>
      <c r="C1548" s="4">
        <v>72</v>
      </c>
      <c r="D1548" s="3">
        <v>1.4882390000000001</v>
      </c>
      <c r="E1548" s="1">
        <v>6.3091483999999998E-3</v>
      </c>
      <c r="F1548" s="2">
        <v>7.4336680000000002E-2</v>
      </c>
    </row>
    <row r="1549" spans="1:6" x14ac:dyDescent="0.25">
      <c r="A1549" t="s">
        <v>6</v>
      </c>
      <c r="B1549" s="5" t="str">
        <f>HYPERLINK("http://www.broadinstitute.org/gsea/msigdb/cards/GOBP_ESTABLISHMENT_OF_PIGMENT_GRANULE_LOCALIZATION.html","GOBP_ESTABLISHMENT_OF_PIGMENT_GRANULE_LOCALIZATION")</f>
        <v>GOBP_ESTABLISHMENT_OF_PIGMENT_GRANULE_LOCALIZATION</v>
      </c>
      <c r="C1549" s="4">
        <v>17</v>
      </c>
      <c r="D1549" s="3">
        <v>1.4881937999999999</v>
      </c>
      <c r="E1549" s="1">
        <v>4.9036780000000002E-2</v>
      </c>
      <c r="F1549" s="2">
        <v>7.4316666000000003E-2</v>
      </c>
    </row>
    <row r="1550" spans="1:6" x14ac:dyDescent="0.25">
      <c r="A1550" t="s">
        <v>7</v>
      </c>
      <c r="B1550" s="5" t="str">
        <f>HYPERLINK("http://www.broadinstitute.org/gsea/msigdb/cards/GOCC_CYTOPLASMIC_SIDE_OF_MEMBRANE.html","GOCC_CYTOPLASMIC_SIDE_OF_MEMBRANE")</f>
        <v>GOCC_CYTOPLASMIC_SIDE_OF_MEMBRANE</v>
      </c>
      <c r="C1550" s="4">
        <v>208</v>
      </c>
      <c r="D1550" s="3">
        <v>1.4878690000000001</v>
      </c>
      <c r="E1550" s="1">
        <v>2.7548210000000002E-3</v>
      </c>
      <c r="F1550" s="2">
        <v>7.4450500000000003E-2</v>
      </c>
    </row>
    <row r="1551" spans="1:6" x14ac:dyDescent="0.25">
      <c r="A1551" t="s">
        <v>6</v>
      </c>
      <c r="B1551" s="5" t="str">
        <f>HYPERLINK("http://www.broadinstitute.org/gsea/msigdb/cards/GOBP_POSITIVE_REGULATION_OF_RUFFLE_ASSEMBLY.html","GOBP_POSITIVE_REGULATION_OF_RUFFLE_ASSEMBLY")</f>
        <v>GOBP_POSITIVE_REGULATION_OF_RUFFLE_ASSEMBLY</v>
      </c>
      <c r="C1551" s="4">
        <v>15</v>
      </c>
      <c r="D1551" s="3">
        <v>1.4876332000000001</v>
      </c>
      <c r="E1551" s="1">
        <v>4.9742710000000002E-2</v>
      </c>
      <c r="F1551" s="2">
        <v>7.4546440000000005E-2</v>
      </c>
    </row>
    <row r="1552" spans="1:6" x14ac:dyDescent="0.25">
      <c r="A1552" t="s">
        <v>6</v>
      </c>
      <c r="B1552" s="5" t="str">
        <f>HYPERLINK("http://www.broadinstitute.org/gsea/msigdb/cards/GOBP_FIBRINOLYSIS.html","GOBP_FIBRINOLYSIS")</f>
        <v>GOBP_FIBRINOLYSIS</v>
      </c>
      <c r="C1552" s="4">
        <v>22</v>
      </c>
      <c r="D1552" s="3">
        <v>1.4875678999999999</v>
      </c>
      <c r="E1552" s="1">
        <v>3.7288136999999999E-2</v>
      </c>
      <c r="F1552" s="2">
        <v>7.4540234999999996E-2</v>
      </c>
    </row>
    <row r="1553" spans="1:6" x14ac:dyDescent="0.25">
      <c r="A1553" t="s">
        <v>6</v>
      </c>
      <c r="B1553" s="5" t="str">
        <f>HYPERLINK("http://www.broadinstitute.org/gsea/msigdb/cards/GOBP_POSITIVE_REGULATION_OF_TYPE_2_IMMUNE_RESPONSE.html","GOBP_POSITIVE_REGULATION_OF_TYPE_2_IMMUNE_RESPONSE")</f>
        <v>GOBP_POSITIVE_REGULATION_OF_TYPE_2_IMMUNE_RESPONSE</v>
      </c>
      <c r="C1553" s="4">
        <v>18</v>
      </c>
      <c r="D1553" s="3">
        <v>1.4873354000000001</v>
      </c>
      <c r="E1553" s="1">
        <v>4.4293015999999998E-2</v>
      </c>
      <c r="F1553" s="2">
        <v>7.4632669999999998E-2</v>
      </c>
    </row>
    <row r="1554" spans="1:6" x14ac:dyDescent="0.25">
      <c r="A1554" t="s">
        <v>7</v>
      </c>
      <c r="B1554" s="5" t="str">
        <f>HYPERLINK("http://www.broadinstitute.org/gsea/msigdb/cards/GOCC_ENDOPLASMIC_RETICULUM_GOLGI_INTERMEDIATE_COMPARTMENT_MEMBRANE.html","GOCC_ENDOPLASMIC_RETICULUM_GOLGI_INTERMEDIATE_COMPARTMENT_MEMBRANE")</f>
        <v>GOCC_ENDOPLASMIC_RETICULUM_GOLGI_INTERMEDIATE_COMPARTMENT_MEMBRANE</v>
      </c>
      <c r="C1554" s="4">
        <v>17</v>
      </c>
      <c r="D1554" s="3">
        <v>1.4871129999999999</v>
      </c>
      <c r="E1554" s="1">
        <v>4.5138888000000002E-2</v>
      </c>
      <c r="F1554" s="2">
        <v>7.4715085000000001E-2</v>
      </c>
    </row>
    <row r="1555" spans="1:6" x14ac:dyDescent="0.25">
      <c r="A1555" t="s">
        <v>8</v>
      </c>
      <c r="B1555" s="5" t="str">
        <f>HYPERLINK("http://www.broadinstitute.org/gsea/msigdb/cards/GOMF_PHOSPHATIDYLINOSITOL_PHOSPHATE_PHOSPHATASE_ACTIVITY.html","GOMF_PHOSPHATIDYLINOSITOL_PHOSPHATE_PHOSPHATASE_ACTIVITY")</f>
        <v>GOMF_PHOSPHATIDYLINOSITOL_PHOSPHATE_PHOSPHATASE_ACTIVITY</v>
      </c>
      <c r="C1555" s="4">
        <v>27</v>
      </c>
      <c r="D1555" s="3">
        <v>1.4864225</v>
      </c>
      <c r="E1555" s="1">
        <v>3.7865749999999997E-2</v>
      </c>
      <c r="F1555" s="2">
        <v>7.5064610000000004E-2</v>
      </c>
    </row>
    <row r="1556" spans="1:6" x14ac:dyDescent="0.25">
      <c r="A1556" t="s">
        <v>6</v>
      </c>
      <c r="B1556" s="5" t="str">
        <f>HYPERLINK("http://www.broadinstitute.org/gsea/msigdb/cards/GOBP_MEGAKARYOCYTE_DEVELOPMENT.html","GOBP_MEGAKARYOCYTE_DEVELOPMENT")</f>
        <v>GOBP_MEGAKARYOCYTE_DEVELOPMENT</v>
      </c>
      <c r="C1556" s="4">
        <v>26</v>
      </c>
      <c r="D1556" s="3">
        <v>1.4863397</v>
      </c>
      <c r="E1556" s="1">
        <v>5.6198347000000003E-2</v>
      </c>
      <c r="F1556" s="2">
        <v>7.5069300000000005E-2</v>
      </c>
    </row>
    <row r="1557" spans="1:6" x14ac:dyDescent="0.25">
      <c r="A1557" t="s">
        <v>6</v>
      </c>
      <c r="B1557" s="5" t="str">
        <f>HYPERLINK("http://www.broadinstitute.org/gsea/msigdb/cards/GOBP_STRESS_ACTIVATED_PROTEIN_KINASE_SIGNALING_CASCADE.html","GOBP_STRESS_ACTIVATED_PROTEIN_KINASE_SIGNALING_CASCADE")</f>
        <v>GOBP_STRESS_ACTIVATED_PROTEIN_KINASE_SIGNALING_CASCADE</v>
      </c>
      <c r="C1557" s="4">
        <v>253</v>
      </c>
      <c r="D1557" s="3">
        <v>1.486302</v>
      </c>
      <c r="E1557" s="1">
        <v>0</v>
      </c>
      <c r="F1557" s="2">
        <v>7.5041910000000003E-2</v>
      </c>
    </row>
    <row r="1558" spans="1:6" x14ac:dyDescent="0.25">
      <c r="A1558" t="s">
        <v>6</v>
      </c>
      <c r="B1558" s="5" t="str">
        <f>HYPERLINK("http://www.broadinstitute.org/gsea/msigdb/cards/GOBP_POSITIVE_REGULATION_OF_SMALL_GTPASE_MEDIATED_SIGNAL_TRANSDUCTION.html","GOBP_POSITIVE_REGULATION_OF_SMALL_GTPASE_MEDIATED_SIGNAL_TRANSDUCTION")</f>
        <v>GOBP_POSITIVE_REGULATION_OF_SMALL_GTPASE_MEDIATED_SIGNAL_TRANSDUCTION</v>
      </c>
      <c r="C1558" s="4">
        <v>79</v>
      </c>
      <c r="D1558" s="3">
        <v>1.4862732999999999</v>
      </c>
      <c r="E1558" s="1">
        <v>1.3636364E-2</v>
      </c>
      <c r="F1558" s="2">
        <v>7.5008909999999998E-2</v>
      </c>
    </row>
    <row r="1559" spans="1:6" x14ac:dyDescent="0.25">
      <c r="A1559" t="s">
        <v>6</v>
      </c>
      <c r="B1559" s="5" t="str">
        <f>HYPERLINK("http://www.broadinstitute.org/gsea/msigdb/cards/GOBP_POSITIVE_REGULATION_OF_AMYLOID_BETA_FORMATION.html","GOBP_POSITIVE_REGULATION_OF_AMYLOID_BETA_FORMATION")</f>
        <v>GOBP_POSITIVE_REGULATION_OF_AMYLOID_BETA_FORMATION</v>
      </c>
      <c r="C1559" s="4">
        <v>20</v>
      </c>
      <c r="D1559" s="3">
        <v>1.4859739999999999</v>
      </c>
      <c r="E1559" s="1">
        <v>4.4673539999999998E-2</v>
      </c>
      <c r="F1559" s="2">
        <v>7.5130450000000001E-2</v>
      </c>
    </row>
    <row r="1560" spans="1:6" x14ac:dyDescent="0.25">
      <c r="A1560" t="s">
        <v>6</v>
      </c>
      <c r="B1560" s="5" t="str">
        <f>HYPERLINK("http://www.broadinstitute.org/gsea/msigdb/cards/GOBP_I_KAPPAB_PHOSPHORYLATION.html","GOBP_I_KAPPAB_PHOSPHORYLATION")</f>
        <v>GOBP_I_KAPPAB_PHOSPHORYLATION</v>
      </c>
      <c r="C1560" s="4">
        <v>19</v>
      </c>
      <c r="D1560" s="3">
        <v>1.4856265</v>
      </c>
      <c r="E1560" s="1">
        <v>4.4673539999999998E-2</v>
      </c>
      <c r="F1560" s="2">
        <v>7.5289389999999998E-2</v>
      </c>
    </row>
    <row r="1561" spans="1:6" x14ac:dyDescent="0.25">
      <c r="A1561" t="s">
        <v>6</v>
      </c>
      <c r="B1561" s="5" t="str">
        <f>HYPERLINK("http://www.broadinstitute.org/gsea/msigdb/cards/GOBP_RECEPTOR_METABOLIC_PROCESS.html","GOBP_RECEPTOR_METABOLIC_PROCESS")</f>
        <v>GOBP_RECEPTOR_METABOLIC_PROCESS</v>
      </c>
      <c r="C1561" s="4">
        <v>85</v>
      </c>
      <c r="D1561" s="3">
        <v>1.4843154000000001</v>
      </c>
      <c r="E1561" s="1">
        <v>1.0785825000000001E-2</v>
      </c>
      <c r="F1561" s="2">
        <v>7.6018290000000002E-2</v>
      </c>
    </row>
    <row r="1562" spans="1:6" x14ac:dyDescent="0.25">
      <c r="A1562" t="s">
        <v>6</v>
      </c>
      <c r="B1562" s="5" t="str">
        <f>HYPERLINK("http://www.broadinstitute.org/gsea/msigdb/cards/GOBP_NEGATIVE_REGULATION_OF_BLOOD_VESSEL_ENDOTHELIAL_CELL_MIGRATION.html","GOBP_NEGATIVE_REGULATION_OF_BLOOD_VESSEL_ENDOTHELIAL_CELL_MIGRATION")</f>
        <v>GOBP_NEGATIVE_REGULATION_OF_BLOOD_VESSEL_ENDOTHELIAL_CELL_MIGRATION</v>
      </c>
      <c r="C1562" s="4">
        <v>35</v>
      </c>
      <c r="D1562" s="3">
        <v>1.4838773000000001</v>
      </c>
      <c r="E1562" s="1">
        <v>2.4429968E-2</v>
      </c>
      <c r="F1562" s="2">
        <v>7.6227329999999996E-2</v>
      </c>
    </row>
    <row r="1563" spans="1:6" x14ac:dyDescent="0.25">
      <c r="A1563" t="s">
        <v>10</v>
      </c>
      <c r="B1563" s="5" t="str">
        <f>HYPERLINK("http://www.broadinstitute.org/gsea/msigdb/cards/REACTOME_CARGO_CONCENTRATION_IN_THE_ER.html","REACTOME_CARGO_CONCENTRATION_IN_THE_ER")</f>
        <v>REACTOME_CARGO_CONCENTRATION_IN_THE_ER</v>
      </c>
      <c r="C1563" s="4">
        <v>33</v>
      </c>
      <c r="D1563" s="3">
        <v>1.4837917</v>
      </c>
      <c r="E1563" s="1">
        <v>3.883495E-2</v>
      </c>
      <c r="F1563" s="2">
        <v>7.6231203999999997E-2</v>
      </c>
    </row>
    <row r="1564" spans="1:6" x14ac:dyDescent="0.25">
      <c r="A1564" t="s">
        <v>7</v>
      </c>
      <c r="B1564" s="5" t="str">
        <f>HYPERLINK("http://www.broadinstitute.org/gsea/msigdb/cards/GOCC_LATE_ENDOSOME_MEMBRANE.html","GOCC_LATE_ENDOSOME_MEMBRANE")</f>
        <v>GOCC_LATE_ENDOSOME_MEMBRANE</v>
      </c>
      <c r="C1564" s="4">
        <v>91</v>
      </c>
      <c r="D1564" s="3">
        <v>1.4834086</v>
      </c>
      <c r="E1564" s="1">
        <v>1.3554217E-2</v>
      </c>
      <c r="F1564" s="2">
        <v>7.6404265999999998E-2</v>
      </c>
    </row>
    <row r="1565" spans="1:6" x14ac:dyDescent="0.25">
      <c r="A1565" t="s">
        <v>6</v>
      </c>
      <c r="B1565" s="5" t="str">
        <f>HYPERLINK("http://www.broadinstitute.org/gsea/msigdb/cards/GOBP_NEGATIVE_REGULATION_OF_PROTEOLYSIS.html","GOBP_NEGATIVE_REGULATION_OF_PROTEOLYSIS")</f>
        <v>GOBP_NEGATIVE_REGULATION_OF_PROTEOLYSIS</v>
      </c>
      <c r="C1565" s="4">
        <v>326</v>
      </c>
      <c r="D1565" s="3">
        <v>1.4833822999999999</v>
      </c>
      <c r="E1565" s="1">
        <v>0</v>
      </c>
      <c r="F1565" s="2">
        <v>7.6372709999999996E-2</v>
      </c>
    </row>
    <row r="1566" spans="1:6" x14ac:dyDescent="0.25">
      <c r="A1566" t="s">
        <v>6</v>
      </c>
      <c r="B1566" s="5" t="str">
        <f>HYPERLINK("http://www.broadinstitute.org/gsea/msigdb/cards/GOBP_PEPTIDYL_TYROSINE_DEPHOSPHORYLATION.html","GOBP_PEPTIDYL_TYROSINE_DEPHOSPHORYLATION")</f>
        <v>GOBP_PEPTIDYL_TYROSINE_DEPHOSPHORYLATION</v>
      </c>
      <c r="C1566" s="4">
        <v>32</v>
      </c>
      <c r="D1566" s="3">
        <v>1.4831074</v>
      </c>
      <c r="E1566" s="1">
        <v>4.1390730000000001E-2</v>
      </c>
      <c r="F1566" s="2">
        <v>7.6480500000000007E-2</v>
      </c>
    </row>
    <row r="1567" spans="1:6" x14ac:dyDescent="0.25">
      <c r="A1567" t="s">
        <v>6</v>
      </c>
      <c r="B1567" s="5" t="str">
        <f>HYPERLINK("http://www.broadinstitute.org/gsea/msigdb/cards/GOBP_CORTICAL_CYTOSKELETON_ORGANIZATION.html","GOBP_CORTICAL_CYTOSKELETON_ORGANIZATION")</f>
        <v>GOBP_CORTICAL_CYTOSKELETON_ORGANIZATION</v>
      </c>
      <c r="C1567" s="4">
        <v>53</v>
      </c>
      <c r="D1567" s="3">
        <v>1.4822757</v>
      </c>
      <c r="E1567" s="1">
        <v>3.9432175E-2</v>
      </c>
      <c r="F1567" s="2">
        <v>7.6961786000000004E-2</v>
      </c>
    </row>
    <row r="1568" spans="1:6" x14ac:dyDescent="0.25">
      <c r="A1568" t="s">
        <v>6</v>
      </c>
      <c r="B1568" s="5" t="str">
        <f>HYPERLINK("http://www.broadinstitute.org/gsea/msigdb/cards/GOBP_POSITIVE_REGULATION_OF_RELEASE_OF_SEQUESTERED_CALCIUM_ION_INTO_CYTOSOL.html","GOBP_POSITIVE_REGULATION_OF_RELEASE_OF_SEQUESTERED_CALCIUM_ION_INTO_CYTOSOL")</f>
        <v>GOBP_POSITIVE_REGULATION_OF_RELEASE_OF_SEQUESTERED_CALCIUM_ION_INTO_CYTOSOL</v>
      </c>
      <c r="C1568" s="4">
        <v>41</v>
      </c>
      <c r="D1568" s="3">
        <v>1.4821571</v>
      </c>
      <c r="E1568" s="1">
        <v>2.195946E-2</v>
      </c>
      <c r="F1568" s="2">
        <v>7.6987990000000006E-2</v>
      </c>
    </row>
    <row r="1569" spans="1:6" x14ac:dyDescent="0.25">
      <c r="A1569" t="s">
        <v>7</v>
      </c>
      <c r="B1569" s="5" t="str">
        <f>HYPERLINK("http://www.broadinstitute.org/gsea/msigdb/cards/GOCC_MHC_CLASS_I_PROTEIN_COMPLEX.html","GOCC_MHC_CLASS_I_PROTEIN_COMPLEX")</f>
        <v>GOCC_MHC_CLASS_I_PROTEIN_COMPLEX</v>
      </c>
      <c r="C1569" s="4">
        <v>16</v>
      </c>
      <c r="D1569" s="3">
        <v>1.4820903999999999</v>
      </c>
      <c r="E1569" s="1">
        <v>5.0909089999999997E-2</v>
      </c>
      <c r="F1569" s="2">
        <v>7.6981740000000007E-2</v>
      </c>
    </row>
    <row r="1570" spans="1:6" x14ac:dyDescent="0.25">
      <c r="A1570" t="s">
        <v>6</v>
      </c>
      <c r="B1570" s="5" t="str">
        <f>HYPERLINK("http://www.broadinstitute.org/gsea/msigdb/cards/GOBP_RESPONSE_TO_DEXAMETHASONE.html","GOBP_RESPONSE_TO_DEXAMETHASONE")</f>
        <v>GOBP_RESPONSE_TO_DEXAMETHASONE</v>
      </c>
      <c r="C1570" s="4">
        <v>28</v>
      </c>
      <c r="D1570" s="3">
        <v>1.4814894000000001</v>
      </c>
      <c r="E1570" s="1">
        <v>5.1282052000000002E-2</v>
      </c>
      <c r="F1570" s="2">
        <v>7.7299766000000006E-2</v>
      </c>
    </row>
    <row r="1571" spans="1:6" x14ac:dyDescent="0.25">
      <c r="A1571" t="s">
        <v>10</v>
      </c>
      <c r="B1571" s="5" t="str">
        <f>HYPERLINK("http://www.broadinstitute.org/gsea/msigdb/cards/REACTOME_NUCLEAR_EVENTS_KINASE_AND_TRANSCRIPTION_FACTOR_ACTIVATION.html","REACTOME_NUCLEAR_EVENTS_KINASE_AND_TRANSCRIPTION_FACTOR_ACTIVATION")</f>
        <v>REACTOME_NUCLEAR_EVENTS_KINASE_AND_TRANSCRIPTION_FACTOR_ACTIVATION</v>
      </c>
      <c r="C1571" s="4">
        <v>27</v>
      </c>
      <c r="D1571" s="3">
        <v>1.4813901</v>
      </c>
      <c r="E1571" s="1">
        <v>3.2733223999999998E-2</v>
      </c>
      <c r="F1571" s="2">
        <v>7.7311950000000004E-2</v>
      </c>
    </row>
    <row r="1572" spans="1:6" x14ac:dyDescent="0.25">
      <c r="A1572" t="s">
        <v>6</v>
      </c>
      <c r="B1572" s="5" t="str">
        <f>HYPERLINK("http://www.broadinstitute.org/gsea/msigdb/cards/GOBP_MULTICELLULAR_ORGANISMAL_LEVEL_IRON_ION_HOMEOSTASIS.html","GOBP_MULTICELLULAR_ORGANISMAL_LEVEL_IRON_ION_HOMEOSTASIS")</f>
        <v>GOBP_MULTICELLULAR_ORGANISMAL_LEVEL_IRON_ION_HOMEOSTASIS</v>
      </c>
      <c r="C1572" s="4">
        <v>30</v>
      </c>
      <c r="D1572" s="3">
        <v>1.4811361999999999</v>
      </c>
      <c r="E1572" s="1">
        <v>3.2626427999999999E-2</v>
      </c>
      <c r="F1572" s="2">
        <v>7.7405630000000003E-2</v>
      </c>
    </row>
    <row r="1573" spans="1:6" x14ac:dyDescent="0.25">
      <c r="A1573" t="s">
        <v>6</v>
      </c>
      <c r="B1573" s="5" t="str">
        <f>HYPERLINK("http://www.broadinstitute.org/gsea/msigdb/cards/GOBP_NEGATIVE_REGULATION_OF_PROTEIN_MATURATION.html","GOBP_NEGATIVE_REGULATION_OF_PROTEIN_MATURATION")</f>
        <v>GOBP_NEGATIVE_REGULATION_OF_PROTEIN_MATURATION</v>
      </c>
      <c r="C1573" s="4">
        <v>29</v>
      </c>
      <c r="D1573" s="3">
        <v>1.4806980000000001</v>
      </c>
      <c r="E1573" s="1">
        <v>4.8092870000000003E-2</v>
      </c>
      <c r="F1573" s="2">
        <v>7.7630273999999999E-2</v>
      </c>
    </row>
    <row r="1574" spans="1:6" x14ac:dyDescent="0.25">
      <c r="A1574" t="s">
        <v>6</v>
      </c>
      <c r="B1574" s="5" t="str">
        <f>HYPERLINK("http://www.broadinstitute.org/gsea/msigdb/cards/GOBP_NEGATIVE_REGULATION_OF_HEMOPOIESIS.html","GOBP_NEGATIVE_REGULATION_OF_HEMOPOIESIS")</f>
        <v>GOBP_NEGATIVE_REGULATION_OF_HEMOPOIESIS</v>
      </c>
      <c r="C1574" s="4">
        <v>121</v>
      </c>
      <c r="D1574" s="3">
        <v>1.4802386999999999</v>
      </c>
      <c r="E1574" s="1">
        <v>5.9259259999999998E-3</v>
      </c>
      <c r="F1574" s="2">
        <v>7.7841060000000004E-2</v>
      </c>
    </row>
    <row r="1575" spans="1:6" x14ac:dyDescent="0.25">
      <c r="A1575" t="s">
        <v>6</v>
      </c>
      <c r="B1575" s="5" t="str">
        <f>HYPERLINK("http://www.broadinstitute.org/gsea/msigdb/cards/GOBP_ARF_PROTEIN_SIGNAL_TRANSDUCTION.html","GOBP_ARF_PROTEIN_SIGNAL_TRANSDUCTION")</f>
        <v>GOBP_ARF_PROTEIN_SIGNAL_TRANSDUCTION</v>
      </c>
      <c r="C1575" s="4">
        <v>20</v>
      </c>
      <c r="D1575" s="3">
        <v>1.4799629999999999</v>
      </c>
      <c r="E1575" s="1">
        <v>3.4722224000000003E-2</v>
      </c>
      <c r="F1575" s="2">
        <v>7.7950634000000005E-2</v>
      </c>
    </row>
    <row r="1576" spans="1:6" x14ac:dyDescent="0.25">
      <c r="A1576" t="s">
        <v>7</v>
      </c>
      <c r="B1576" s="5" t="str">
        <f>HYPERLINK("http://www.broadinstitute.org/gsea/msigdb/cards/GOCC_ACTIN_CYTOSKELETON.html","GOCC_ACTIN_CYTOSKELETON")</f>
        <v>GOCC_ACTIN_CYTOSKELETON</v>
      </c>
      <c r="C1576" s="4">
        <v>498</v>
      </c>
      <c r="D1576" s="3">
        <v>1.4799230999999999</v>
      </c>
      <c r="E1576" s="1">
        <v>0</v>
      </c>
      <c r="F1576" s="2">
        <v>7.7920370000000003E-2</v>
      </c>
    </row>
    <row r="1577" spans="1:6" x14ac:dyDescent="0.25">
      <c r="A1577" t="s">
        <v>6</v>
      </c>
      <c r="B1577" s="5" t="str">
        <f>HYPERLINK("http://www.broadinstitute.org/gsea/msigdb/cards/GOBP_REGULATION_OF_REGULATED_SECRETORY_PATHWAY.html","GOBP_REGULATION_OF_REGULATED_SECRETORY_PATHWAY")</f>
        <v>GOBP_REGULATION_OF_REGULATED_SECRETORY_PATHWAY</v>
      </c>
      <c r="C1577" s="4">
        <v>154</v>
      </c>
      <c r="D1577" s="3">
        <v>1.4798794</v>
      </c>
      <c r="E1577" s="1">
        <v>4.3415340000000002E-3</v>
      </c>
      <c r="F1577" s="2">
        <v>7.7892249999999996E-2</v>
      </c>
    </row>
    <row r="1578" spans="1:6" x14ac:dyDescent="0.25">
      <c r="A1578" t="s">
        <v>6</v>
      </c>
      <c r="B1578" s="5" t="str">
        <f>HYPERLINK("http://www.broadinstitute.org/gsea/msigdb/cards/GOBP_RESPONSE_TO_INSULIN.html","GOBP_RESPONSE_TO_INSULIN")</f>
        <v>GOBP_RESPONSE_TO_INSULIN</v>
      </c>
      <c r="C1578" s="4">
        <v>253</v>
      </c>
      <c r="D1578" s="3">
        <v>1.4793087</v>
      </c>
      <c r="E1578" s="1">
        <v>4.0268455999999996E-3</v>
      </c>
      <c r="F1578" s="2">
        <v>7.816584E-2</v>
      </c>
    </row>
    <row r="1579" spans="1:6" x14ac:dyDescent="0.25">
      <c r="A1579" t="s">
        <v>6</v>
      </c>
      <c r="B1579" s="5" t="str">
        <f>HYPERLINK("http://www.broadinstitute.org/gsea/msigdb/cards/GOBP_LIPID_MODIFICATION.html","GOBP_LIPID_MODIFICATION")</f>
        <v>GOBP_LIPID_MODIFICATION</v>
      </c>
      <c r="C1579" s="4">
        <v>199</v>
      </c>
      <c r="D1579" s="3">
        <v>1.4773672</v>
      </c>
      <c r="E1579" s="1">
        <v>4.1265473999999996E-3</v>
      </c>
      <c r="F1579" s="2">
        <v>7.9278719999999997E-2</v>
      </c>
    </row>
    <row r="1580" spans="1:6" x14ac:dyDescent="0.25">
      <c r="A1580" t="s">
        <v>6</v>
      </c>
      <c r="B1580" s="5" t="str">
        <f>HYPERLINK("http://www.broadinstitute.org/gsea/msigdb/cards/GOBP_NEGATIVE_REGULATION_OF_SMALL_GTPASE_MEDIATED_SIGNAL_TRANSDUCTION.html","GOBP_NEGATIVE_REGULATION_OF_SMALL_GTPASE_MEDIATED_SIGNAL_TRANSDUCTION")</f>
        <v>GOBP_NEGATIVE_REGULATION_OF_SMALL_GTPASE_MEDIATED_SIGNAL_TRANSDUCTION</v>
      </c>
      <c r="C1580" s="4">
        <v>62</v>
      </c>
      <c r="D1580" s="3">
        <v>1.4773002</v>
      </c>
      <c r="E1580" s="1">
        <v>1.7571884999999999E-2</v>
      </c>
      <c r="F1580" s="2">
        <v>7.9270999999999994E-2</v>
      </c>
    </row>
    <row r="1581" spans="1:6" x14ac:dyDescent="0.25">
      <c r="A1581" t="s">
        <v>6</v>
      </c>
      <c r="B1581" s="5" t="str">
        <f>HYPERLINK("http://www.broadinstitute.org/gsea/msigdb/cards/GOBP_REGULATION_OF_PLASMA_MEMBRANE_ORGANIZATION.html","GOBP_REGULATION_OF_PLASMA_MEMBRANE_ORGANIZATION")</f>
        <v>GOBP_REGULATION_OF_PLASMA_MEMBRANE_ORGANIZATION</v>
      </c>
      <c r="C1581" s="4">
        <v>18</v>
      </c>
      <c r="D1581" s="3">
        <v>1.4767355</v>
      </c>
      <c r="E1581" s="1">
        <v>5.3211010000000003E-2</v>
      </c>
      <c r="F1581" s="2">
        <v>7.9580559999999995E-2</v>
      </c>
    </row>
    <row r="1582" spans="1:6" x14ac:dyDescent="0.25">
      <c r="A1582" t="s">
        <v>6</v>
      </c>
      <c r="B1582" s="5" t="str">
        <f>HYPERLINK("http://www.broadinstitute.org/gsea/msigdb/cards/GOBP_INTERLEUKIN_4_PRODUCTION.html","GOBP_INTERLEUKIN_4_PRODUCTION")</f>
        <v>GOBP_INTERLEUKIN_4_PRODUCTION</v>
      </c>
      <c r="C1582" s="4">
        <v>53</v>
      </c>
      <c r="D1582" s="3">
        <v>1.4764423</v>
      </c>
      <c r="E1582" s="1">
        <v>3.3280507000000001E-2</v>
      </c>
      <c r="F1582" s="2">
        <v>7.9710279999999994E-2</v>
      </c>
    </row>
    <row r="1583" spans="1:6" x14ac:dyDescent="0.25">
      <c r="A1583" t="s">
        <v>6</v>
      </c>
      <c r="B1583" s="5" t="str">
        <f>HYPERLINK("http://www.broadinstitute.org/gsea/msigdb/cards/GOBP_REGULATION_OF_MITOPHAGY.html","GOBP_REGULATION_OF_MITOPHAGY")</f>
        <v>GOBP_REGULATION_OF_MITOPHAGY</v>
      </c>
      <c r="C1583" s="4">
        <v>18</v>
      </c>
      <c r="D1583" s="3">
        <v>1.4763984999999999</v>
      </c>
      <c r="E1583" s="1">
        <v>5.1601424999999999E-2</v>
      </c>
      <c r="F1583" s="2">
        <v>7.9689309999999999E-2</v>
      </c>
    </row>
    <row r="1584" spans="1:6" x14ac:dyDescent="0.25">
      <c r="A1584" t="s">
        <v>6</v>
      </c>
      <c r="B1584" s="5" t="str">
        <f>HYPERLINK("http://www.broadinstitute.org/gsea/msigdb/cards/GOBP_POSITIVE_REGULATION_OF_MYOBLAST_PROLIFERATION.html","GOBP_POSITIVE_REGULATION_OF_MYOBLAST_PROLIFERATION")</f>
        <v>GOBP_POSITIVE_REGULATION_OF_MYOBLAST_PROLIFERATION</v>
      </c>
      <c r="C1584" s="4">
        <v>16</v>
      </c>
      <c r="D1584" s="3">
        <v>1.4763222</v>
      </c>
      <c r="E1584" s="1">
        <v>7.1167886E-2</v>
      </c>
      <c r="F1584" s="2">
        <v>7.9683445000000006E-2</v>
      </c>
    </row>
    <row r="1585" spans="1:6" x14ac:dyDescent="0.25">
      <c r="A1585" t="s">
        <v>6</v>
      </c>
      <c r="B1585" s="5" t="str">
        <f>HYPERLINK("http://www.broadinstitute.org/gsea/msigdb/cards/GOBP_POSITIVE_REGULATION_OF_CHEMOKINE_C_X_C_MOTIF_LIGAND_2_PRODUCTION.html","GOBP_POSITIVE_REGULATION_OF_CHEMOKINE_C_X_C_MOTIF_LIGAND_2_PRODUCTION")</f>
        <v>GOBP_POSITIVE_REGULATION_OF_CHEMOKINE_C_X_C_MOTIF_LIGAND_2_PRODUCTION</v>
      </c>
      <c r="C1585" s="4">
        <v>15</v>
      </c>
      <c r="D1585" s="3">
        <v>1.4762369</v>
      </c>
      <c r="E1585" s="1">
        <v>4.2105265000000003E-2</v>
      </c>
      <c r="F1585" s="2">
        <v>7.9689239999999995E-2</v>
      </c>
    </row>
    <row r="1586" spans="1:6" x14ac:dyDescent="0.25">
      <c r="A1586" t="s">
        <v>6</v>
      </c>
      <c r="B1586" s="5" t="str">
        <f>HYPERLINK("http://www.broadinstitute.org/gsea/msigdb/cards/GOBP_REGULATION_OF_ARP2_3_COMPLEX_MEDIATED_ACTIN_NUCLEATION.html","GOBP_REGULATION_OF_ARP2_3_COMPLEX_MEDIATED_ACTIN_NUCLEATION")</f>
        <v>GOBP_REGULATION_OF_ARP2_3_COMPLEX_MEDIATED_ACTIN_NUCLEATION</v>
      </c>
      <c r="C1586" s="4">
        <v>27</v>
      </c>
      <c r="D1586" s="3">
        <v>1.4747946999999999</v>
      </c>
      <c r="E1586" s="1">
        <v>5.0086356999999998E-2</v>
      </c>
      <c r="F1586" s="2">
        <v>8.0510533999999995E-2</v>
      </c>
    </row>
    <row r="1587" spans="1:6" x14ac:dyDescent="0.25">
      <c r="A1587" t="s">
        <v>6</v>
      </c>
      <c r="B1587" s="5" t="str">
        <f>HYPERLINK("http://www.broadinstitute.org/gsea/msigdb/cards/GOBP_VITAMIN_D_METABOLIC_PROCESS.html","GOBP_VITAMIN_D_METABOLIC_PROCESS")</f>
        <v>GOBP_VITAMIN_D_METABOLIC_PROCESS</v>
      </c>
      <c r="C1587" s="4">
        <v>16</v>
      </c>
      <c r="D1587" s="3">
        <v>1.4747157</v>
      </c>
      <c r="E1587" s="1">
        <v>4.8109966999999997E-2</v>
      </c>
      <c r="F1587" s="2">
        <v>8.0519884999999999E-2</v>
      </c>
    </row>
    <row r="1588" spans="1:6" x14ac:dyDescent="0.25">
      <c r="A1588" t="s">
        <v>7</v>
      </c>
      <c r="B1588" s="5" t="str">
        <f>HYPERLINK("http://www.broadinstitute.org/gsea/msigdb/cards/GOCC_PERINUCLEAR_ENDOPLASMIC_RETICULUM.html","GOCC_PERINUCLEAR_ENDOPLASMIC_RETICULUM")</f>
        <v>GOCC_PERINUCLEAR_ENDOPLASMIC_RETICULUM</v>
      </c>
      <c r="C1588" s="4">
        <v>28</v>
      </c>
      <c r="D1588" s="3">
        <v>1.4743795</v>
      </c>
      <c r="E1588" s="1">
        <v>4.054054E-2</v>
      </c>
      <c r="F1588" s="2">
        <v>8.068446E-2</v>
      </c>
    </row>
    <row r="1589" spans="1:6" x14ac:dyDescent="0.25">
      <c r="A1589" t="s">
        <v>6</v>
      </c>
      <c r="B1589" s="5" t="str">
        <f>HYPERLINK("http://www.broadinstitute.org/gsea/msigdb/cards/GOBP_LYMPH_NODE_DEVELOPMENT.html","GOBP_LYMPH_NODE_DEVELOPMENT")</f>
        <v>GOBP_LYMPH_NODE_DEVELOPMENT</v>
      </c>
      <c r="C1589" s="4">
        <v>30</v>
      </c>
      <c r="D1589" s="3">
        <v>1.4741985</v>
      </c>
      <c r="E1589" s="1">
        <v>3.8720536999999999E-2</v>
      </c>
      <c r="F1589" s="2">
        <v>8.0744209999999997E-2</v>
      </c>
    </row>
    <row r="1590" spans="1:6" x14ac:dyDescent="0.25">
      <c r="A1590" t="s">
        <v>10</v>
      </c>
      <c r="B1590" s="5" t="str">
        <f>HYPERLINK("http://www.broadinstitute.org/gsea/msigdb/cards/REACTOME_AQUAPORIN_MEDIATED_TRANSPORT.html","REACTOME_AQUAPORIN_MEDIATED_TRANSPORT")</f>
        <v>REACTOME_AQUAPORIN_MEDIATED_TRANSPORT</v>
      </c>
      <c r="C1590" s="4">
        <v>38</v>
      </c>
      <c r="D1590" s="3">
        <v>1.4739918999999999</v>
      </c>
      <c r="E1590" s="1">
        <v>3.8142620000000002E-2</v>
      </c>
      <c r="F1590" s="2">
        <v>8.0799036000000005E-2</v>
      </c>
    </row>
    <row r="1591" spans="1:6" x14ac:dyDescent="0.25">
      <c r="A1591" t="s">
        <v>6</v>
      </c>
      <c r="B1591" s="5" t="str">
        <f>HYPERLINK("http://www.broadinstitute.org/gsea/msigdb/cards/GOBP_REGULATION_OF_ENDOCRINE_PROCESS.html","GOBP_REGULATION_OF_ENDOCRINE_PROCESS")</f>
        <v>GOBP_REGULATION_OF_ENDOCRINE_PROCESS</v>
      </c>
      <c r="C1591" s="4">
        <v>52</v>
      </c>
      <c r="D1591" s="3">
        <v>1.4735982000000001</v>
      </c>
      <c r="E1591" s="1">
        <v>2.1874999999999999E-2</v>
      </c>
      <c r="F1591" s="2">
        <v>8.0998509999999996E-2</v>
      </c>
    </row>
    <row r="1592" spans="1:6" x14ac:dyDescent="0.25">
      <c r="A1592" t="s">
        <v>6</v>
      </c>
      <c r="B1592" s="5" t="str">
        <f>HYPERLINK("http://www.broadinstitute.org/gsea/msigdb/cards/GOBP_INOSITOL_TRISPHOSPHATE_METABOLIC_PROCESS.html","GOBP_INOSITOL_TRISPHOSPHATE_METABOLIC_PROCESS")</f>
        <v>GOBP_INOSITOL_TRISPHOSPHATE_METABOLIC_PROCESS</v>
      </c>
      <c r="C1592" s="4">
        <v>18</v>
      </c>
      <c r="D1592" s="3">
        <v>1.4735081999999999</v>
      </c>
      <c r="E1592" s="1">
        <v>4.6280990000000001E-2</v>
      </c>
      <c r="F1592" s="2">
        <v>8.1010910000000005E-2</v>
      </c>
    </row>
    <row r="1593" spans="1:6" x14ac:dyDescent="0.25">
      <c r="A1593" t="s">
        <v>6</v>
      </c>
      <c r="B1593" s="5" t="str">
        <f>HYPERLINK("http://www.broadinstitute.org/gsea/msigdb/cards/GOBP_POSITIVE_REGULATION_OF_CD8_POSITIVE_ALPHA_BETA_T_CELL_PROLIFERATION.html","GOBP_POSITIVE_REGULATION_OF_CD8_POSITIVE_ALPHA_BETA_T_CELL_PROLIFERATION")</f>
        <v>GOBP_POSITIVE_REGULATION_OF_CD8_POSITIVE_ALPHA_BETA_T_CELL_PROLIFERATION</v>
      </c>
      <c r="C1593" s="4">
        <v>16</v>
      </c>
      <c r="D1593" s="3">
        <v>1.4733881</v>
      </c>
      <c r="E1593" s="1">
        <v>6.1403510000000001E-2</v>
      </c>
      <c r="F1593" s="2">
        <v>8.1037620000000005E-2</v>
      </c>
    </row>
    <row r="1594" spans="1:6" x14ac:dyDescent="0.25">
      <c r="A1594" t="s">
        <v>6</v>
      </c>
      <c r="B1594" s="5" t="str">
        <f>HYPERLINK("http://www.broadinstitute.org/gsea/msigdb/cards/GOBP_POSITIVE_REGULATION_OF_NUCLEOCYTOPLASMIC_TRANSPORT.html","GOBP_POSITIVE_REGULATION_OF_NUCLEOCYTOPLASMIC_TRANSPORT")</f>
        <v>GOBP_POSITIVE_REGULATION_OF_NUCLEOCYTOPLASMIC_TRANSPORT</v>
      </c>
      <c r="C1594" s="4">
        <v>75</v>
      </c>
      <c r="D1594" s="3">
        <v>1.4725277000000001</v>
      </c>
      <c r="E1594" s="1">
        <v>1.6233766E-2</v>
      </c>
      <c r="F1594" s="2">
        <v>8.1503816000000007E-2</v>
      </c>
    </row>
    <row r="1595" spans="1:6" x14ac:dyDescent="0.25">
      <c r="A1595" t="s">
        <v>6</v>
      </c>
      <c r="B1595" s="5" t="str">
        <f>HYPERLINK("http://www.broadinstitute.org/gsea/msigdb/cards/GOBP_ENDOCRINE_PROCESS.html","GOBP_ENDOCRINE_PROCESS")</f>
        <v>GOBP_ENDOCRINE_PROCESS</v>
      </c>
      <c r="C1595" s="4">
        <v>106</v>
      </c>
      <c r="D1595" s="3">
        <v>1.4724941</v>
      </c>
      <c r="E1595" s="1">
        <v>1.6691957E-2</v>
      </c>
      <c r="F1595" s="2">
        <v>8.1483945000000002E-2</v>
      </c>
    </row>
    <row r="1596" spans="1:6" x14ac:dyDescent="0.25">
      <c r="A1596" t="s">
        <v>6</v>
      </c>
      <c r="B1596" s="5" t="str">
        <f>HYPERLINK("http://www.broadinstitute.org/gsea/msigdb/cards/GOBP_REGULATION_OF_AUTOPHAGY.html","GOBP_REGULATION_OF_AUTOPHAGY")</f>
        <v>GOBP_REGULATION_OF_AUTOPHAGY</v>
      </c>
      <c r="C1596" s="4">
        <v>292</v>
      </c>
      <c r="D1596" s="3">
        <v>1.4723781</v>
      </c>
      <c r="E1596" s="1">
        <v>5.3547522999999996E-3</v>
      </c>
      <c r="F1596" s="2">
        <v>8.1500729999999993E-2</v>
      </c>
    </row>
    <row r="1597" spans="1:6" x14ac:dyDescent="0.25">
      <c r="A1597" t="s">
        <v>6</v>
      </c>
      <c r="B1597" s="5" t="str">
        <f>HYPERLINK("http://www.broadinstitute.org/gsea/msigdb/cards/GOBP_VASCULAR_ASSOCIATED_SMOOTH_MUSCLE_CONTRACTION.html","GOBP_VASCULAR_ASSOCIATED_SMOOTH_MUSCLE_CONTRACTION")</f>
        <v>GOBP_VASCULAR_ASSOCIATED_SMOOTH_MUSCLE_CONTRACTION</v>
      </c>
      <c r="C1597" s="4">
        <v>29</v>
      </c>
      <c r="D1597" s="3">
        <v>1.4722135999999999</v>
      </c>
      <c r="E1597" s="1">
        <v>3.3898304999999997E-2</v>
      </c>
      <c r="F1597" s="2">
        <v>8.1555539999999996E-2</v>
      </c>
    </row>
    <row r="1598" spans="1:6" x14ac:dyDescent="0.25">
      <c r="A1598" t="s">
        <v>6</v>
      </c>
      <c r="B1598" s="5" t="str">
        <f>HYPERLINK("http://www.broadinstitute.org/gsea/msigdb/cards/GOBP_NEGATIVE_REGULATION_OF_AMINO_ACID_TRANSPORT.html","GOBP_NEGATIVE_REGULATION_OF_AMINO_ACID_TRANSPORT")</f>
        <v>GOBP_NEGATIVE_REGULATION_OF_AMINO_ACID_TRANSPORT</v>
      </c>
      <c r="C1598" s="4">
        <v>20</v>
      </c>
      <c r="D1598" s="3">
        <v>1.4717690000000001</v>
      </c>
      <c r="E1598" s="1">
        <v>5.5267703000000001E-2</v>
      </c>
      <c r="F1598" s="2">
        <v>8.1772750000000005E-2</v>
      </c>
    </row>
    <row r="1599" spans="1:6" x14ac:dyDescent="0.25">
      <c r="A1599" t="s">
        <v>5</v>
      </c>
      <c r="B1599" s="5" t="str">
        <f>HYPERLINK("http://www.broadinstitute.org/gsea/msigdb/cards/BIOCARTA_MET_PATHWAY.html","BIOCARTA_MET_PATHWAY")</f>
        <v>BIOCARTA_MET_PATHWAY</v>
      </c>
      <c r="C1599" s="4">
        <v>33</v>
      </c>
      <c r="D1599" s="3">
        <v>1.4717194</v>
      </c>
      <c r="E1599" s="1">
        <v>3.1613976000000002E-2</v>
      </c>
      <c r="F1599" s="2">
        <v>8.1751353999999998E-2</v>
      </c>
    </row>
    <row r="1600" spans="1:6" x14ac:dyDescent="0.25">
      <c r="A1600" t="s">
        <v>6</v>
      </c>
      <c r="B1600" s="5" t="str">
        <f>HYPERLINK("http://www.broadinstitute.org/gsea/msigdb/cards/GOBP_EPITHELIAL_CELL_APOPTOTIC_PROCESS.html","GOBP_EPITHELIAL_CELL_APOPTOTIC_PROCESS")</f>
        <v>GOBP_EPITHELIAL_CELL_APOPTOTIC_PROCESS</v>
      </c>
      <c r="C1600" s="4">
        <v>160</v>
      </c>
      <c r="D1600" s="3">
        <v>1.4716035000000001</v>
      </c>
      <c r="E1600" s="1">
        <v>4.3415340000000002E-3</v>
      </c>
      <c r="F1600" s="2">
        <v>8.1767909999999999E-2</v>
      </c>
    </row>
    <row r="1601" spans="1:6" x14ac:dyDescent="0.25">
      <c r="A1601" t="s">
        <v>6</v>
      </c>
      <c r="B1601" s="5" t="str">
        <f>HYPERLINK("http://www.broadinstitute.org/gsea/msigdb/cards/GOBP_ESTABLISHMENT_OF_PROTEIN_LOCALIZATION_TO_VACUOLE.html","GOBP_ESTABLISHMENT_OF_PROTEIN_LOCALIZATION_TO_VACUOLE")</f>
        <v>GOBP_ESTABLISHMENT_OF_PROTEIN_LOCALIZATION_TO_VACUOLE</v>
      </c>
      <c r="C1601" s="4">
        <v>59</v>
      </c>
      <c r="D1601" s="3">
        <v>1.4707716</v>
      </c>
      <c r="E1601" s="1">
        <v>2.0866774000000001E-2</v>
      </c>
      <c r="F1601" s="2">
        <v>8.2241869999999995E-2</v>
      </c>
    </row>
    <row r="1602" spans="1:6" x14ac:dyDescent="0.25">
      <c r="A1602" t="s">
        <v>6</v>
      </c>
      <c r="B1602" s="5" t="str">
        <f>HYPERLINK("http://www.broadinstitute.org/gsea/msigdb/cards/GOBP_NEGATIVE_REGULATION_OF_PROTEIN_SERINE_THREONINE_KINASE_ACTIVITY.html","GOBP_NEGATIVE_REGULATION_OF_PROTEIN_SERINE_THREONINE_KINASE_ACTIVITY")</f>
        <v>GOBP_NEGATIVE_REGULATION_OF_PROTEIN_SERINE_THREONINE_KINASE_ACTIVITY</v>
      </c>
      <c r="C1602" s="4">
        <v>106</v>
      </c>
      <c r="D1602" s="3">
        <v>1.4698994000000001</v>
      </c>
      <c r="E1602" s="1">
        <v>1.5600624E-2</v>
      </c>
      <c r="F1602" s="2">
        <v>8.2724829999999999E-2</v>
      </c>
    </row>
    <row r="1603" spans="1:6" x14ac:dyDescent="0.25">
      <c r="A1603" t="s">
        <v>7</v>
      </c>
      <c r="B1603" s="5" t="str">
        <f>HYPERLINK("http://www.broadinstitute.org/gsea/msigdb/cards/GOCC_ENDOPLASMIC_RETICULUM_LUMEN.html","GOCC_ENDOPLASMIC_RETICULUM_LUMEN")</f>
        <v>GOCC_ENDOPLASMIC_RETICULUM_LUMEN</v>
      </c>
      <c r="C1603" s="4">
        <v>86</v>
      </c>
      <c r="D1603" s="3">
        <v>1.4698610000000001</v>
      </c>
      <c r="E1603" s="1">
        <v>1.4263075E-2</v>
      </c>
      <c r="F1603" s="2">
        <v>8.2696850000000002E-2</v>
      </c>
    </row>
    <row r="1604" spans="1:6" x14ac:dyDescent="0.25">
      <c r="A1604" t="s">
        <v>6</v>
      </c>
      <c r="B1604" s="5" t="str">
        <f>HYPERLINK("http://www.broadinstitute.org/gsea/msigdb/cards/GOBP_PHOSPHATIDYLCHOLINE_CATABOLIC_PROCESS.html","GOBP_PHOSPHATIDYLCHOLINE_CATABOLIC_PROCESS")</f>
        <v>GOBP_PHOSPHATIDYLCHOLINE_CATABOLIC_PROCESS</v>
      </c>
      <c r="C1604" s="4">
        <v>15</v>
      </c>
      <c r="D1604" s="3">
        <v>1.4691593999999999</v>
      </c>
      <c r="E1604" s="1">
        <v>5.5555555999999999E-2</v>
      </c>
      <c r="F1604" s="2">
        <v>8.3089990000000002E-2</v>
      </c>
    </row>
    <row r="1605" spans="1:6" x14ac:dyDescent="0.25">
      <c r="A1605" t="s">
        <v>7</v>
      </c>
      <c r="B1605" s="5" t="str">
        <f>HYPERLINK("http://www.broadinstitute.org/gsea/msigdb/cards/GOCC_COPII_COATED_ER_TO_GOLGI_TRANSPORT_VESICLE.html","GOCC_COPII_COATED_ER_TO_GOLGI_TRANSPORT_VESICLE")</f>
        <v>GOCC_COPII_COATED_ER_TO_GOLGI_TRANSPORT_VESICLE</v>
      </c>
      <c r="C1605" s="4">
        <v>54</v>
      </c>
      <c r="D1605" s="3">
        <v>1.4689570999999999</v>
      </c>
      <c r="E1605" s="1">
        <v>2.0667726000000001E-2</v>
      </c>
      <c r="F1605" s="2">
        <v>8.3158515000000002E-2</v>
      </c>
    </row>
    <row r="1606" spans="1:6" x14ac:dyDescent="0.25">
      <c r="A1606" t="s">
        <v>6</v>
      </c>
      <c r="B1606" s="5" t="str">
        <f>HYPERLINK("http://www.broadinstitute.org/gsea/msigdb/cards/GOBP_RESPONSE_TO_STILBENOID.html","GOBP_RESPONSE_TO_STILBENOID")</f>
        <v>GOBP_RESPONSE_TO_STILBENOID</v>
      </c>
      <c r="C1606" s="4">
        <v>20</v>
      </c>
      <c r="D1606" s="3">
        <v>1.4686380000000001</v>
      </c>
      <c r="E1606" s="1">
        <v>4.8214287000000002E-2</v>
      </c>
      <c r="F1606" s="2">
        <v>8.3318173999999995E-2</v>
      </c>
    </row>
    <row r="1607" spans="1:6" x14ac:dyDescent="0.25">
      <c r="A1607" t="s">
        <v>6</v>
      </c>
      <c r="B1607" s="5" t="str">
        <f>HYPERLINK("http://www.broadinstitute.org/gsea/msigdb/cards/GOBP_INTRACELLULAR_LIPID_TRANSPORT.html","GOBP_INTRACELLULAR_LIPID_TRANSPORT")</f>
        <v>GOBP_INTRACELLULAR_LIPID_TRANSPORT</v>
      </c>
      <c r="C1607" s="4">
        <v>44</v>
      </c>
      <c r="D1607" s="3">
        <v>1.4683847000000001</v>
      </c>
      <c r="E1607" s="1">
        <v>3.6682617000000001E-2</v>
      </c>
      <c r="F1607" s="2">
        <v>8.3435079999999995E-2</v>
      </c>
    </row>
    <row r="1608" spans="1:6" x14ac:dyDescent="0.25">
      <c r="A1608" t="s">
        <v>10</v>
      </c>
      <c r="B1608" s="5" t="str">
        <f>HYPERLINK("http://www.broadinstitute.org/gsea/msigdb/cards/REACTOME_METABOLISM_OF_NUCLEOTIDES.html","REACTOME_METABOLISM_OF_NUCLEOTIDES")</f>
        <v>REACTOME_METABOLISM_OF_NUCLEOTIDES</v>
      </c>
      <c r="C1608" s="4">
        <v>94</v>
      </c>
      <c r="D1608" s="3">
        <v>1.4681149</v>
      </c>
      <c r="E1608" s="1">
        <v>6.0606059999999996E-3</v>
      </c>
      <c r="F1608" s="2">
        <v>8.3546380000000003E-2</v>
      </c>
    </row>
    <row r="1609" spans="1:6" x14ac:dyDescent="0.25">
      <c r="A1609" t="s">
        <v>6</v>
      </c>
      <c r="B1609" s="5" t="str">
        <f>HYPERLINK("http://www.broadinstitute.org/gsea/msigdb/cards/GOBP_REGULATION_OF_PROTEIN_LOCALIZATION_TO_CELL_SURFACE.html","GOBP_REGULATION_OF_PROTEIN_LOCALIZATION_TO_CELL_SURFACE")</f>
        <v>GOBP_REGULATION_OF_PROTEIN_LOCALIZATION_TO_CELL_SURFACE</v>
      </c>
      <c r="C1609" s="4">
        <v>44</v>
      </c>
      <c r="D1609" s="3">
        <v>1.4674459</v>
      </c>
      <c r="E1609" s="1">
        <v>2.728732E-2</v>
      </c>
      <c r="F1609" s="2">
        <v>8.3905994999999997E-2</v>
      </c>
    </row>
    <row r="1610" spans="1:6" x14ac:dyDescent="0.25">
      <c r="A1610" t="s">
        <v>6</v>
      </c>
      <c r="B1610" s="5" t="str">
        <f>HYPERLINK("http://www.broadinstitute.org/gsea/msigdb/cards/GOBP_FAT_CELL_DIFFERENTIATION.html","GOBP_FAT_CELL_DIFFERENTIATION")</f>
        <v>GOBP_FAT_CELL_DIFFERENTIATION</v>
      </c>
      <c r="C1610" s="4">
        <v>263</v>
      </c>
      <c r="D1610" s="3">
        <v>1.4667201000000001</v>
      </c>
      <c r="E1610" s="1">
        <v>4.1436464999999997E-3</v>
      </c>
      <c r="F1610" s="2">
        <v>8.4321969999999996E-2</v>
      </c>
    </row>
    <row r="1611" spans="1:6" x14ac:dyDescent="0.25">
      <c r="A1611" t="s">
        <v>6</v>
      </c>
      <c r="B1611" s="5" t="str">
        <f>HYPERLINK("http://www.broadinstitute.org/gsea/msigdb/cards/GOBP_NEGATIVE_REGULATION_OF_AMINE_TRANSPORT.html","GOBP_NEGATIVE_REGULATION_OF_AMINE_TRANSPORT")</f>
        <v>GOBP_NEGATIVE_REGULATION_OF_AMINE_TRANSPORT</v>
      </c>
      <c r="C1611" s="4">
        <v>37</v>
      </c>
      <c r="D1611" s="3">
        <v>1.46661</v>
      </c>
      <c r="E1611" s="1">
        <v>3.8333333999999997E-2</v>
      </c>
      <c r="F1611" s="2">
        <v>8.4334759999999995E-2</v>
      </c>
    </row>
    <row r="1612" spans="1:6" x14ac:dyDescent="0.25">
      <c r="A1612" t="s">
        <v>6</v>
      </c>
      <c r="B1612" s="5" t="str">
        <f>HYPERLINK("http://www.broadinstitute.org/gsea/msigdb/cards/GOBP_FIBROBLAST_PROLIFERATION.html","GOBP_FIBROBLAST_PROLIFERATION")</f>
        <v>GOBP_FIBROBLAST_PROLIFERATION</v>
      </c>
      <c r="C1612" s="4">
        <v>147</v>
      </c>
      <c r="D1612" s="3">
        <v>1.4665220999999999</v>
      </c>
      <c r="E1612" s="1">
        <v>4.3041609999999999E-3</v>
      </c>
      <c r="F1612" s="2">
        <v>8.4338225000000003E-2</v>
      </c>
    </row>
    <row r="1613" spans="1:6" x14ac:dyDescent="0.25">
      <c r="A1613" t="s">
        <v>6</v>
      </c>
      <c r="B1613" s="5" t="str">
        <f>HYPERLINK("http://www.broadinstitute.org/gsea/msigdb/cards/GOBP_REGULATION_OF_MYELOID_CELL_APOPTOTIC_PROCESS.html","GOBP_REGULATION_OF_MYELOID_CELL_APOPTOTIC_PROCESS")</f>
        <v>GOBP_REGULATION_OF_MYELOID_CELL_APOPTOTIC_PROCESS</v>
      </c>
      <c r="C1613" s="4">
        <v>36</v>
      </c>
      <c r="D1613" s="3">
        <v>1.4665139</v>
      </c>
      <c r="E1613" s="1">
        <v>4.2904289999999998E-2</v>
      </c>
      <c r="F1613" s="2">
        <v>8.4289890000000006E-2</v>
      </c>
    </row>
    <row r="1614" spans="1:6" x14ac:dyDescent="0.25">
      <c r="A1614" t="s">
        <v>6</v>
      </c>
      <c r="B1614" s="5" t="str">
        <f>HYPERLINK("http://www.broadinstitute.org/gsea/msigdb/cards/GOBP_PHOSPHATIDYLINOSITOL_DEPHOSPHORYLATION.html","GOBP_PHOSPHATIDYLINOSITOL_DEPHOSPHORYLATION")</f>
        <v>GOBP_PHOSPHATIDYLINOSITOL_DEPHOSPHORYLATION</v>
      </c>
      <c r="C1614" s="4">
        <v>26</v>
      </c>
      <c r="D1614" s="3">
        <v>1.4664124000000001</v>
      </c>
      <c r="E1614" s="1">
        <v>3.0354130999999999E-2</v>
      </c>
      <c r="F1614" s="2">
        <v>8.4302130000000003E-2</v>
      </c>
    </row>
    <row r="1615" spans="1:6" x14ac:dyDescent="0.25">
      <c r="A1615" t="s">
        <v>8</v>
      </c>
      <c r="B1615" s="5" t="str">
        <f>HYPERLINK("http://www.broadinstitute.org/gsea/msigdb/cards/GOMF_KINASE_REGULATOR_ACTIVITY.html","GOMF_KINASE_REGULATOR_ACTIVITY")</f>
        <v>GOMF_KINASE_REGULATOR_ACTIVITY</v>
      </c>
      <c r="C1615" s="4">
        <v>254</v>
      </c>
      <c r="D1615" s="3">
        <v>1.4649677999999999</v>
      </c>
      <c r="E1615" s="1">
        <v>4.0595400000000004E-3</v>
      </c>
      <c r="F1615" s="2">
        <v>8.5184090000000004E-2</v>
      </c>
    </row>
    <row r="1616" spans="1:6" x14ac:dyDescent="0.25">
      <c r="A1616" t="s">
        <v>11</v>
      </c>
      <c r="B1616" s="5" t="str">
        <f>HYPERLINK("http://www.broadinstitute.org/gsea/msigdb/cards/WP_HYPOXIA_DEPENDENT_PROLIFERATION_OF_MYOBLASTS.html","WP_HYPOXIA_DEPENDENT_PROLIFERATION_OF_MYOBLASTS")</f>
        <v>WP_HYPOXIA_DEPENDENT_PROLIFERATION_OF_MYOBLASTS</v>
      </c>
      <c r="C1616" s="4">
        <v>19</v>
      </c>
      <c r="D1616" s="3">
        <v>1.4649319999999999</v>
      </c>
      <c r="E1616" s="1">
        <v>4.7781570000000002E-2</v>
      </c>
      <c r="F1616" s="2">
        <v>8.5156746000000005E-2</v>
      </c>
    </row>
    <row r="1617" spans="1:6" x14ac:dyDescent="0.25">
      <c r="A1617" t="s">
        <v>6</v>
      </c>
      <c r="B1617" s="5" t="str">
        <f>HYPERLINK("http://www.broadinstitute.org/gsea/msigdb/cards/GOBP_RESPONSE_TO_TEMPERATURE_STIMULUS.html","GOBP_RESPONSE_TO_TEMPERATURE_STIMULUS")</f>
        <v>GOBP_RESPONSE_TO_TEMPERATURE_STIMULUS</v>
      </c>
      <c r="C1617" s="4">
        <v>161</v>
      </c>
      <c r="D1617" s="3">
        <v>1.4646281999999999</v>
      </c>
      <c r="E1617" s="1">
        <v>5.7142857000000002E-3</v>
      </c>
      <c r="F1617" s="2">
        <v>8.5298570000000004E-2</v>
      </c>
    </row>
    <row r="1618" spans="1:6" x14ac:dyDescent="0.25">
      <c r="A1618" t="s">
        <v>6</v>
      </c>
      <c r="B1618" s="5" t="str">
        <f>HYPERLINK("http://www.broadinstitute.org/gsea/msigdb/cards/GOBP_PROTECTION_FROM_NATURAL_KILLER_CELL_MEDIATED_CYTOTOXICITY.html","GOBP_PROTECTION_FROM_NATURAL_KILLER_CELL_MEDIATED_CYTOTOXICITY")</f>
        <v>GOBP_PROTECTION_FROM_NATURAL_KILLER_CELL_MEDIATED_CYTOTOXICITY</v>
      </c>
      <c r="C1618" s="4">
        <v>21</v>
      </c>
      <c r="D1618" s="3">
        <v>1.4643250000000001</v>
      </c>
      <c r="E1618" s="1">
        <v>5.5363323999999998E-2</v>
      </c>
      <c r="F1618" s="2">
        <v>8.5428920000000005E-2</v>
      </c>
    </row>
    <row r="1619" spans="1:6" x14ac:dyDescent="0.25">
      <c r="A1619" t="s">
        <v>6</v>
      </c>
      <c r="B1619" s="5" t="str">
        <f>HYPERLINK("http://www.broadinstitute.org/gsea/msigdb/cards/GOBP_PIGMENT_GRANULE_LOCALIZATION.html","GOBP_PIGMENT_GRANULE_LOCALIZATION")</f>
        <v>GOBP_PIGMENT_GRANULE_LOCALIZATION</v>
      </c>
      <c r="C1619" s="4">
        <v>20</v>
      </c>
      <c r="D1619" s="3">
        <v>1.4641062</v>
      </c>
      <c r="E1619" s="1">
        <v>5.2991454E-2</v>
      </c>
      <c r="F1619" s="2">
        <v>8.5510180000000005E-2</v>
      </c>
    </row>
    <row r="1620" spans="1:6" x14ac:dyDescent="0.25">
      <c r="A1620" t="s">
        <v>6</v>
      </c>
      <c r="B1620" s="5" t="str">
        <f>HYPERLINK("http://www.broadinstitute.org/gsea/msigdb/cards/GOBP_IMPORT_INTO_NUCLEUS.html","GOBP_IMPORT_INTO_NUCLEUS")</f>
        <v>GOBP_IMPORT_INTO_NUCLEUS</v>
      </c>
      <c r="C1620" s="4">
        <v>180</v>
      </c>
      <c r="D1620" s="3">
        <v>1.4639251</v>
      </c>
      <c r="E1620" s="1">
        <v>0</v>
      </c>
      <c r="F1620" s="2">
        <v>8.5567820000000003E-2</v>
      </c>
    </row>
    <row r="1621" spans="1:6" x14ac:dyDescent="0.25">
      <c r="A1621" t="s">
        <v>10</v>
      </c>
      <c r="B1621" s="5" t="str">
        <f>HYPERLINK("http://www.broadinstitute.org/gsea/msigdb/cards/REACTOME_ADRENALINE_NORADRENALINE_INHIBITS_INSULIN_SECRETION.html","REACTOME_ADRENALINE_NORADRENALINE_INHIBITS_INSULIN_SECRETION")</f>
        <v>REACTOME_ADRENALINE_NORADRENALINE_INHIBITS_INSULIN_SECRETION</v>
      </c>
      <c r="C1621" s="4">
        <v>22</v>
      </c>
      <c r="D1621" s="3">
        <v>1.4637996</v>
      </c>
      <c r="E1621" s="1">
        <v>5.4329373E-2</v>
      </c>
      <c r="F1621" s="2">
        <v>8.5593719999999998E-2</v>
      </c>
    </row>
    <row r="1622" spans="1:6" x14ac:dyDescent="0.25">
      <c r="A1622" t="s">
        <v>6</v>
      </c>
      <c r="B1622" s="5" t="str">
        <f>HYPERLINK("http://www.broadinstitute.org/gsea/msigdb/cards/GOBP_POSITIVE_REGULATION_OF_MACROPHAGE_DIFFERENTIATION.html","GOBP_POSITIVE_REGULATION_OF_MACROPHAGE_DIFFERENTIATION")</f>
        <v>GOBP_POSITIVE_REGULATION_OF_MACROPHAGE_DIFFERENTIATION</v>
      </c>
      <c r="C1622" s="4">
        <v>15</v>
      </c>
      <c r="D1622" s="3">
        <v>1.4636066999999999</v>
      </c>
      <c r="E1622" s="1">
        <v>5.3726169999999997E-2</v>
      </c>
      <c r="F1622" s="2">
        <v>8.5679284999999994E-2</v>
      </c>
    </row>
    <row r="1623" spans="1:6" x14ac:dyDescent="0.25">
      <c r="A1623" t="s">
        <v>5</v>
      </c>
      <c r="B1623" s="5" t="str">
        <f>HYPERLINK("http://www.broadinstitute.org/gsea/msigdb/cards/BIOCARTA_GSK3_PATHWAY.html","BIOCARTA_GSK3_PATHWAY")</f>
        <v>BIOCARTA_GSK3_PATHWAY</v>
      </c>
      <c r="C1623" s="4">
        <v>21</v>
      </c>
      <c r="D1623" s="3">
        <v>1.4635798</v>
      </c>
      <c r="E1623" s="1">
        <v>5.2805282000000002E-2</v>
      </c>
      <c r="F1623" s="2">
        <v>8.5641809999999999E-2</v>
      </c>
    </row>
    <row r="1624" spans="1:6" x14ac:dyDescent="0.25">
      <c r="A1624" t="s">
        <v>6</v>
      </c>
      <c r="B1624" s="5" t="str">
        <f>HYPERLINK("http://www.broadinstitute.org/gsea/msigdb/cards/GOBP_AMP_METABOLIC_PROCESS.html","GOBP_AMP_METABOLIC_PROCESS")</f>
        <v>GOBP_AMP_METABOLIC_PROCESS</v>
      </c>
      <c r="C1624" s="4">
        <v>28</v>
      </c>
      <c r="D1624" s="3">
        <v>1.4632856000000001</v>
      </c>
      <c r="E1624" s="1">
        <v>5.0610820000000001E-2</v>
      </c>
      <c r="F1624" s="2">
        <v>8.5771429999999996E-2</v>
      </c>
    </row>
    <row r="1625" spans="1:6" x14ac:dyDescent="0.25">
      <c r="A1625" t="s">
        <v>6</v>
      </c>
      <c r="B1625" s="5" t="str">
        <f>HYPERLINK("http://www.broadinstitute.org/gsea/msigdb/cards/GOBP_NEGATIVE_REGULATION_OF_SMOOTH_MUSCLE_CONTRACTION.html","GOBP_NEGATIVE_REGULATION_OF_SMOOTH_MUSCLE_CONTRACTION")</f>
        <v>GOBP_NEGATIVE_REGULATION_OF_SMOOTH_MUSCLE_CONTRACTION</v>
      </c>
      <c r="C1625" s="4">
        <v>19</v>
      </c>
      <c r="D1625" s="3">
        <v>1.4631424</v>
      </c>
      <c r="E1625" s="1">
        <v>6.0708261999999999E-2</v>
      </c>
      <c r="F1625" s="2">
        <v>8.5804800000000001E-2</v>
      </c>
    </row>
    <row r="1626" spans="1:6" x14ac:dyDescent="0.25">
      <c r="A1626" t="s">
        <v>8</v>
      </c>
      <c r="B1626" s="5" t="str">
        <f>HYPERLINK("http://www.broadinstitute.org/gsea/msigdb/cards/GOMF_ASPARTIC_TYPE_PEPTIDASE_ACTIVITY.html","GOMF_ASPARTIC_TYPE_PEPTIDASE_ACTIVITY")</f>
        <v>GOMF_ASPARTIC_TYPE_PEPTIDASE_ACTIVITY</v>
      </c>
      <c r="C1626" s="4">
        <v>26</v>
      </c>
      <c r="D1626" s="3">
        <v>1.4618306999999999</v>
      </c>
      <c r="E1626" s="1">
        <v>3.8269549999999999E-2</v>
      </c>
      <c r="F1626" s="2">
        <v>8.6598140000000004E-2</v>
      </c>
    </row>
    <row r="1627" spans="1:6" x14ac:dyDescent="0.25">
      <c r="A1627" t="s">
        <v>6</v>
      </c>
      <c r="B1627" s="5" t="str">
        <f>HYPERLINK("http://www.broadinstitute.org/gsea/msigdb/cards/GOBP_CORTICOSTEROID_HORMONE_SECRETION.html","GOBP_CORTICOSTEROID_HORMONE_SECRETION")</f>
        <v>GOBP_CORTICOSTEROID_HORMONE_SECRETION</v>
      </c>
      <c r="C1627" s="4">
        <v>21</v>
      </c>
      <c r="D1627" s="3">
        <v>1.4614183999999999</v>
      </c>
      <c r="E1627" s="1">
        <v>5.1546389999999997E-2</v>
      </c>
      <c r="F1627" s="2">
        <v>8.6805670000000001E-2</v>
      </c>
    </row>
    <row r="1628" spans="1:6" x14ac:dyDescent="0.25">
      <c r="A1628" t="s">
        <v>11</v>
      </c>
      <c r="B1628" s="5" t="str">
        <f>HYPERLINK("http://www.broadinstitute.org/gsea/msigdb/cards/WP_EICOSANOID_METABOLISM_VIA_CYCLOOXYGENASES_COX.html","WP_EICOSANOID_METABOLISM_VIA_CYCLOOXYGENASES_COX")</f>
        <v>WP_EICOSANOID_METABOLISM_VIA_CYCLOOXYGENASES_COX</v>
      </c>
      <c r="C1628" s="4">
        <v>30</v>
      </c>
      <c r="D1628" s="3">
        <v>1.4607584</v>
      </c>
      <c r="E1628" s="1">
        <v>3.8647342000000001E-2</v>
      </c>
      <c r="F1628" s="2">
        <v>8.7183709999999998E-2</v>
      </c>
    </row>
    <row r="1629" spans="1:6" x14ac:dyDescent="0.25">
      <c r="A1629" t="s">
        <v>5</v>
      </c>
      <c r="B1629" s="5" t="str">
        <f>HYPERLINK("http://www.broadinstitute.org/gsea/msigdb/cards/BIOCARTA_INFLAM_PATHWAY.html","BIOCARTA_INFLAM_PATHWAY")</f>
        <v>BIOCARTA_INFLAM_PATHWAY</v>
      </c>
      <c r="C1629" s="4">
        <v>20</v>
      </c>
      <c r="D1629" s="3">
        <v>1.4606941</v>
      </c>
      <c r="E1629" s="1">
        <v>5.6798622E-2</v>
      </c>
      <c r="F1629" s="2">
        <v>8.7177389999999993E-2</v>
      </c>
    </row>
    <row r="1630" spans="1:6" x14ac:dyDescent="0.25">
      <c r="A1630" t="s">
        <v>5</v>
      </c>
      <c r="B1630" s="5" t="str">
        <f>HYPERLINK("http://www.broadinstitute.org/gsea/msigdb/cards/BIOCARTA_FCER1_PATHWAY.html","BIOCARTA_FCER1_PATHWAY")</f>
        <v>BIOCARTA_FCER1_PATHWAY</v>
      </c>
      <c r="C1630" s="4">
        <v>38</v>
      </c>
      <c r="D1630" s="3">
        <v>1.4606273999999999</v>
      </c>
      <c r="E1630" s="1">
        <v>4.4943820000000002E-2</v>
      </c>
      <c r="F1630" s="2">
        <v>8.7173700000000007E-2</v>
      </c>
    </row>
    <row r="1631" spans="1:6" x14ac:dyDescent="0.25">
      <c r="A1631" t="s">
        <v>8</v>
      </c>
      <c r="B1631" s="5" t="str">
        <f>HYPERLINK("http://www.broadinstitute.org/gsea/msigdb/cards/GOMF_PEPTIDE_BINDING.html","GOMF_PEPTIDE_BINDING")</f>
        <v>GOMF_PEPTIDE_BINDING</v>
      </c>
      <c r="C1631" s="4">
        <v>304</v>
      </c>
      <c r="D1631" s="3">
        <v>1.4605128000000001</v>
      </c>
      <c r="E1631" s="1">
        <v>0</v>
      </c>
      <c r="F1631" s="2">
        <v>8.7186760000000002E-2</v>
      </c>
    </row>
    <row r="1632" spans="1:6" x14ac:dyDescent="0.25">
      <c r="A1632" t="s">
        <v>6</v>
      </c>
      <c r="B1632" s="5" t="str">
        <f>HYPERLINK("http://www.broadinstitute.org/gsea/msigdb/cards/GOBP_ADENYLATE_CYCLASE_ACTIVATING_G_PROTEIN_COUPLED_RECEPTOR_SIGNALING_PATHWAY.html","GOBP_ADENYLATE_CYCLASE_ACTIVATING_G_PROTEIN_COUPLED_RECEPTOR_SIGNALING_PATHWAY")</f>
        <v>GOBP_ADENYLATE_CYCLASE_ACTIVATING_G_PROTEIN_COUPLED_RECEPTOR_SIGNALING_PATHWAY</v>
      </c>
      <c r="C1632" s="4">
        <v>150</v>
      </c>
      <c r="D1632" s="3">
        <v>1.4603421999999999</v>
      </c>
      <c r="E1632" s="1">
        <v>7.2568939999999998E-3</v>
      </c>
      <c r="F1632" s="2">
        <v>8.723359E-2</v>
      </c>
    </row>
    <row r="1633" spans="1:6" x14ac:dyDescent="0.25">
      <c r="A1633" t="s">
        <v>6</v>
      </c>
      <c r="B1633" s="5" t="str">
        <f>HYPERLINK("http://www.broadinstitute.org/gsea/msigdb/cards/GOBP_POSITIVE_REGULATION_OF_RELEASE_OF_CYTOCHROME_C_FROM_MITOCHONDRIA.html","GOBP_POSITIVE_REGULATION_OF_RELEASE_OF_CYTOCHROME_C_FROM_MITOCHONDRIA")</f>
        <v>GOBP_POSITIVE_REGULATION_OF_RELEASE_OF_CYTOCHROME_C_FROM_MITOCHONDRIA</v>
      </c>
      <c r="C1633" s="4">
        <v>28</v>
      </c>
      <c r="D1633" s="3">
        <v>1.4600731</v>
      </c>
      <c r="E1633" s="1">
        <v>4.6017700000000002E-2</v>
      </c>
      <c r="F1633" s="2">
        <v>8.7350175000000002E-2</v>
      </c>
    </row>
    <row r="1634" spans="1:6" x14ac:dyDescent="0.25">
      <c r="A1634" t="s">
        <v>6</v>
      </c>
      <c r="B1634" s="5" t="str">
        <f>HYPERLINK("http://www.broadinstitute.org/gsea/msigdb/cards/GOBP_REGULATION_OF_PROTEIN_EXIT_FROM_ENDOPLASMIC_RETICULUM.html","GOBP_REGULATION_OF_PROTEIN_EXIT_FROM_ENDOPLASMIC_RETICULUM")</f>
        <v>GOBP_REGULATION_OF_PROTEIN_EXIT_FROM_ENDOPLASMIC_RETICULUM</v>
      </c>
      <c r="C1634" s="4">
        <v>22</v>
      </c>
      <c r="D1634" s="3">
        <v>1.4599133</v>
      </c>
      <c r="E1634" s="1">
        <v>6.9651740000000004E-2</v>
      </c>
      <c r="F1634" s="2">
        <v>8.7389715000000007E-2</v>
      </c>
    </row>
    <row r="1635" spans="1:6" x14ac:dyDescent="0.25">
      <c r="A1635" t="s">
        <v>8</v>
      </c>
      <c r="B1635" s="5" t="str">
        <f>HYPERLINK("http://www.broadinstitute.org/gsea/msigdb/cards/GOMF_PHOSPHATIDYLINOSITOL_3_PHOSPHATE_BINDING.html","GOMF_PHOSPHATIDYLINOSITOL_3_PHOSPHATE_BINDING")</f>
        <v>GOMF_PHOSPHATIDYLINOSITOL_3_PHOSPHATE_BINDING</v>
      </c>
      <c r="C1635" s="4">
        <v>47</v>
      </c>
      <c r="D1635" s="3">
        <v>1.4594676</v>
      </c>
      <c r="E1635" s="1">
        <v>3.9279870000000001E-2</v>
      </c>
      <c r="F1635" s="2">
        <v>8.7649359999999996E-2</v>
      </c>
    </row>
    <row r="1636" spans="1:6" x14ac:dyDescent="0.25">
      <c r="A1636" t="s">
        <v>6</v>
      </c>
      <c r="B1636" s="5" t="str">
        <f>HYPERLINK("http://www.broadinstitute.org/gsea/msigdb/cards/GOBP_ANTIGEN_PROCESSING_AND_PRESENTATION_OF_EXOGENOUS_PEPTIDE_ANTIGEN_VIA_MHC_CLASS_IB.html","GOBP_ANTIGEN_PROCESSING_AND_PRESENTATION_OF_EXOGENOUS_PEPTIDE_ANTIGEN_VIA_MHC_CLASS_IB")</f>
        <v>GOBP_ANTIGEN_PROCESSING_AND_PRESENTATION_OF_EXOGENOUS_PEPTIDE_ANTIGEN_VIA_MHC_CLASS_IB</v>
      </c>
      <c r="C1636" s="4">
        <v>17</v>
      </c>
      <c r="D1636" s="3">
        <v>1.4593339000000001</v>
      </c>
      <c r="E1636" s="1">
        <v>6.0556463999999997E-2</v>
      </c>
      <c r="F1636" s="2">
        <v>8.7669945999999999E-2</v>
      </c>
    </row>
    <row r="1637" spans="1:6" x14ac:dyDescent="0.25">
      <c r="A1637" t="s">
        <v>6</v>
      </c>
      <c r="B1637" s="5" t="str">
        <f>HYPERLINK("http://www.broadinstitute.org/gsea/msigdb/cards/GOBP_NEGATIVE_REGULATION_OF_CYSTEINE_TYPE_ENDOPEPTIDASE_ACTIVITY.html","GOBP_NEGATIVE_REGULATION_OF_CYSTEINE_TYPE_ENDOPEPTIDASE_ACTIVITY")</f>
        <v>GOBP_NEGATIVE_REGULATION_OF_CYSTEINE_TYPE_ENDOPEPTIDASE_ACTIVITY</v>
      </c>
      <c r="C1637" s="4">
        <v>85</v>
      </c>
      <c r="D1637" s="3">
        <v>1.4592296</v>
      </c>
      <c r="E1637" s="1">
        <v>2.3183925000000001E-2</v>
      </c>
      <c r="F1637" s="2">
        <v>8.7681309999999998E-2</v>
      </c>
    </row>
    <row r="1638" spans="1:6" x14ac:dyDescent="0.25">
      <c r="A1638" t="s">
        <v>7</v>
      </c>
      <c r="B1638" s="5" t="str">
        <f>HYPERLINK("http://www.broadinstitute.org/gsea/msigdb/cards/GOCC_AUTOPHAGOSOME_MEMBRANE.html","GOCC_AUTOPHAGOSOME_MEMBRANE")</f>
        <v>GOCC_AUTOPHAGOSOME_MEMBRANE</v>
      </c>
      <c r="C1638" s="4">
        <v>40</v>
      </c>
      <c r="D1638" s="3">
        <v>1.4592244999999999</v>
      </c>
      <c r="E1638" s="1">
        <v>4.5226130000000003E-2</v>
      </c>
      <c r="F1638" s="2">
        <v>8.7629676000000004E-2</v>
      </c>
    </row>
    <row r="1639" spans="1:6" x14ac:dyDescent="0.25">
      <c r="A1639" t="s">
        <v>6</v>
      </c>
      <c r="B1639" s="5" t="str">
        <f>HYPERLINK("http://www.broadinstitute.org/gsea/msigdb/cards/GOBP_REGULATION_OF_RECEPTOR_INTERNALIZATION.html","GOBP_REGULATION_OF_RECEPTOR_INTERNALIZATION")</f>
        <v>GOBP_REGULATION_OF_RECEPTOR_INTERNALIZATION</v>
      </c>
      <c r="C1639" s="4">
        <v>83</v>
      </c>
      <c r="D1639" s="3">
        <v>1.4588188</v>
      </c>
      <c r="E1639" s="1">
        <v>1.7001545E-2</v>
      </c>
      <c r="F1639" s="2">
        <v>8.7843075000000007E-2</v>
      </c>
    </row>
    <row r="1640" spans="1:6" x14ac:dyDescent="0.25">
      <c r="A1640" t="s">
        <v>8</v>
      </c>
      <c r="B1640" s="5" t="str">
        <f>HYPERLINK("http://www.broadinstitute.org/gsea/msigdb/cards/GOMF_PHOSPHOLIPASE_C_ACTIVITY.html","GOMF_PHOSPHOLIPASE_C_ACTIVITY")</f>
        <v>GOMF_PHOSPHOLIPASE_C_ACTIVITY</v>
      </c>
      <c r="C1640" s="4">
        <v>20</v>
      </c>
      <c r="D1640" s="3">
        <v>1.4586406999999999</v>
      </c>
      <c r="E1640" s="1">
        <v>4.8657720000000002E-2</v>
      </c>
      <c r="F1640" s="2">
        <v>8.7915729999999997E-2</v>
      </c>
    </row>
    <row r="1641" spans="1:6" x14ac:dyDescent="0.25">
      <c r="A1641" t="s">
        <v>6</v>
      </c>
      <c r="B1641" s="5" t="str">
        <f>HYPERLINK("http://www.broadinstitute.org/gsea/msigdb/cards/GOBP_RESPONSE_TO_STARVATION.html","GOBP_RESPONSE_TO_STARVATION")</f>
        <v>GOBP_RESPONSE_TO_STARVATION</v>
      </c>
      <c r="C1641" s="4">
        <v>192</v>
      </c>
      <c r="D1641" s="3">
        <v>1.4583846</v>
      </c>
      <c r="E1641" s="1">
        <v>4.2432816999999996E-3</v>
      </c>
      <c r="F1641" s="2">
        <v>8.8038450000000004E-2</v>
      </c>
    </row>
    <row r="1642" spans="1:6" x14ac:dyDescent="0.25">
      <c r="A1642" t="s">
        <v>7</v>
      </c>
      <c r="B1642" s="5" t="str">
        <f>HYPERLINK("http://www.broadinstitute.org/gsea/msigdb/cards/GOCC_ORGANELLE_MEMBRANE_CONTACT_SITE.html","GOCC_ORGANELLE_MEMBRANE_CONTACT_SITE")</f>
        <v>GOCC_ORGANELLE_MEMBRANE_CONTACT_SITE</v>
      </c>
      <c r="C1642" s="4">
        <v>43</v>
      </c>
      <c r="D1642" s="3">
        <v>1.4579006000000001</v>
      </c>
      <c r="E1642" s="1">
        <v>3.5369775999999999E-2</v>
      </c>
      <c r="F1642" s="2">
        <v>8.8302290000000005E-2</v>
      </c>
    </row>
    <row r="1643" spans="1:6" x14ac:dyDescent="0.25">
      <c r="A1643" t="s">
        <v>6</v>
      </c>
      <c r="B1643" s="5" t="str">
        <f>HYPERLINK("http://www.broadinstitute.org/gsea/msigdb/cards/GOBP_REGULATION_OF_POSTSYNAPTIC_NEUROTRANSMITTER_RECEPTOR_INTERNALIZATION.html","GOBP_REGULATION_OF_POSTSYNAPTIC_NEUROTRANSMITTER_RECEPTOR_INTERNALIZATION")</f>
        <v>GOBP_REGULATION_OF_POSTSYNAPTIC_NEUROTRANSMITTER_RECEPTOR_INTERNALIZATION</v>
      </c>
      <c r="C1643" s="4">
        <v>28</v>
      </c>
      <c r="D1643" s="3">
        <v>1.4566357999999999</v>
      </c>
      <c r="E1643" s="1">
        <v>3.2646050000000003E-2</v>
      </c>
      <c r="F1643" s="2">
        <v>8.9112979999999994E-2</v>
      </c>
    </row>
    <row r="1644" spans="1:6" x14ac:dyDescent="0.25">
      <c r="A1644" t="s">
        <v>6</v>
      </c>
      <c r="B1644" s="5" t="str">
        <f>HYPERLINK("http://www.broadinstitute.org/gsea/msigdb/cards/GOBP_FIBROBLAST_APOPTOTIC_PROCESS.html","GOBP_FIBROBLAST_APOPTOTIC_PROCESS")</f>
        <v>GOBP_FIBROBLAST_APOPTOTIC_PROCESS</v>
      </c>
      <c r="C1644" s="4">
        <v>31</v>
      </c>
      <c r="D1644" s="3">
        <v>1.4565661000000001</v>
      </c>
      <c r="E1644" s="1">
        <v>4.3046359999999999E-2</v>
      </c>
      <c r="F1644" s="2">
        <v>8.9100310000000002E-2</v>
      </c>
    </row>
    <row r="1645" spans="1:6" x14ac:dyDescent="0.25">
      <c r="A1645" t="s">
        <v>6</v>
      </c>
      <c r="B1645" s="5" t="str">
        <f>HYPERLINK("http://www.broadinstitute.org/gsea/msigdb/cards/GOBP_MEMBRANE_LIPID_CATABOLIC_PROCESS.html","GOBP_MEMBRANE_LIPID_CATABOLIC_PROCESS")</f>
        <v>GOBP_MEMBRANE_LIPID_CATABOLIC_PROCESS</v>
      </c>
      <c r="C1645" s="4">
        <v>35</v>
      </c>
      <c r="D1645" s="3">
        <v>1.4565535000000001</v>
      </c>
      <c r="E1645" s="1">
        <v>3.1986529999999999E-2</v>
      </c>
      <c r="F1645" s="2">
        <v>8.9055250000000002E-2</v>
      </c>
    </row>
    <row r="1646" spans="1:6" x14ac:dyDescent="0.25">
      <c r="A1646" t="s">
        <v>7</v>
      </c>
      <c r="B1646" s="5" t="str">
        <f>HYPERLINK("http://www.broadinstitute.org/gsea/msigdb/cards/GOCC_MICROVILLUS.html","GOCC_MICROVILLUS")</f>
        <v>GOCC_MICROVILLUS</v>
      </c>
      <c r="C1646" s="4">
        <v>102</v>
      </c>
      <c r="D1646" s="3">
        <v>1.4565496</v>
      </c>
      <c r="E1646" s="1">
        <v>1.3953488E-2</v>
      </c>
      <c r="F1646" s="2">
        <v>8.9002356000000005E-2</v>
      </c>
    </row>
    <row r="1647" spans="1:6" x14ac:dyDescent="0.25">
      <c r="A1647" t="s">
        <v>6</v>
      </c>
      <c r="B1647" s="5" t="str">
        <f>HYPERLINK("http://www.broadinstitute.org/gsea/msigdb/cards/GOBP_REGULATION_OF_MITOCHONDRIAL_DEPOLARIZATION.html","GOBP_REGULATION_OF_MITOCHONDRIAL_DEPOLARIZATION")</f>
        <v>GOBP_REGULATION_OF_MITOCHONDRIAL_DEPOLARIZATION</v>
      </c>
      <c r="C1647" s="4">
        <v>23</v>
      </c>
      <c r="D1647" s="3">
        <v>1.4564623999999999</v>
      </c>
      <c r="E1647" s="1">
        <v>4.5855380000000001E-2</v>
      </c>
      <c r="F1647" s="2">
        <v>8.9000239999999994E-2</v>
      </c>
    </row>
    <row r="1648" spans="1:6" x14ac:dyDescent="0.25">
      <c r="A1648" t="s">
        <v>6</v>
      </c>
      <c r="B1648" s="5" t="str">
        <f>HYPERLINK("http://www.broadinstitute.org/gsea/msigdb/cards/GOBP_CLATHRIN_COAT_ASSEMBLY.html","GOBP_CLATHRIN_COAT_ASSEMBLY")</f>
        <v>GOBP_CLATHRIN_COAT_ASSEMBLY</v>
      </c>
      <c r="C1648" s="4">
        <v>19</v>
      </c>
      <c r="D1648" s="3">
        <v>1.4564309</v>
      </c>
      <c r="E1648" s="1">
        <v>6.4957269999999998E-2</v>
      </c>
      <c r="F1648" s="2">
        <v>8.8961280000000004E-2</v>
      </c>
    </row>
    <row r="1649" spans="1:6" x14ac:dyDescent="0.25">
      <c r="A1649" t="s">
        <v>6</v>
      </c>
      <c r="B1649" s="5" t="str">
        <f>HYPERLINK("http://www.broadinstitute.org/gsea/msigdb/cards/GOBP_NEGATIVE_REGULATION_OF_GLUCOSE_TRANSMEMBRANE_TRANSPORT.html","GOBP_NEGATIVE_REGULATION_OF_GLUCOSE_TRANSMEMBRANE_TRANSPORT")</f>
        <v>GOBP_NEGATIVE_REGULATION_OF_GLUCOSE_TRANSMEMBRANE_TRANSPORT</v>
      </c>
      <c r="C1649" s="4">
        <v>24</v>
      </c>
      <c r="D1649" s="3">
        <v>1.45526</v>
      </c>
      <c r="E1649" s="1">
        <v>5.3691274999999997E-2</v>
      </c>
      <c r="F1649" s="2">
        <v>8.9723250000000004E-2</v>
      </c>
    </row>
    <row r="1650" spans="1:6" x14ac:dyDescent="0.25">
      <c r="A1650" t="s">
        <v>6</v>
      </c>
      <c r="B1650" s="5" t="str">
        <f>HYPERLINK("http://www.broadinstitute.org/gsea/msigdb/cards/GOBP_NEGATIVE_REGULATION_OF_UBIQUITIN_PROTEIN_TRANSFERASE_ACTIVITY.html","GOBP_NEGATIVE_REGULATION_OF_UBIQUITIN_PROTEIN_TRANSFERASE_ACTIVITY")</f>
        <v>GOBP_NEGATIVE_REGULATION_OF_UBIQUITIN_PROTEIN_TRANSFERASE_ACTIVITY</v>
      </c>
      <c r="C1650" s="4">
        <v>17</v>
      </c>
      <c r="D1650" s="3">
        <v>1.4552495000000001</v>
      </c>
      <c r="E1650" s="1">
        <v>6.0100168000000002E-2</v>
      </c>
      <c r="F1650" s="2">
        <v>8.9676679999999995E-2</v>
      </c>
    </row>
    <row r="1651" spans="1:6" x14ac:dyDescent="0.25">
      <c r="A1651" t="s">
        <v>6</v>
      </c>
      <c r="B1651" s="5" t="str">
        <f>HYPERLINK("http://www.broadinstitute.org/gsea/msigdb/cards/GOBP_REGULATION_OF_DNA_BINDING_TRANSCRIPTION_FACTOR_ACTIVITY.html","GOBP_REGULATION_OF_DNA_BINDING_TRANSCRIPTION_FACTOR_ACTIVITY")</f>
        <v>GOBP_REGULATION_OF_DNA_BINDING_TRANSCRIPTION_FACTOR_ACTIVITY</v>
      </c>
      <c r="C1651" s="4">
        <v>427</v>
      </c>
      <c r="D1651" s="3">
        <v>1.4546702</v>
      </c>
      <c r="E1651" s="1">
        <v>0</v>
      </c>
      <c r="F1651" s="2">
        <v>9.0003440000000004E-2</v>
      </c>
    </row>
    <row r="1652" spans="1:6" x14ac:dyDescent="0.25">
      <c r="A1652" t="s">
        <v>6</v>
      </c>
      <c r="B1652" s="5" t="str">
        <f>HYPERLINK("http://www.broadinstitute.org/gsea/msigdb/cards/GOBP_PROTEIN_LOCALIZATION_TO_CELL_CELL_JUNCTION.html","GOBP_PROTEIN_LOCALIZATION_TO_CELL_CELL_JUNCTION")</f>
        <v>GOBP_PROTEIN_LOCALIZATION_TO_CELL_CELL_JUNCTION</v>
      </c>
      <c r="C1652" s="4">
        <v>24</v>
      </c>
      <c r="D1652" s="3">
        <v>1.4545009</v>
      </c>
      <c r="E1652" s="1">
        <v>5.0173009999999997E-2</v>
      </c>
      <c r="F1652" s="2">
        <v>9.0070373999999995E-2</v>
      </c>
    </row>
    <row r="1653" spans="1:6" x14ac:dyDescent="0.25">
      <c r="A1653" t="s">
        <v>8</v>
      </c>
      <c r="B1653" s="5" t="str">
        <f>HYPERLINK("http://www.broadinstitute.org/gsea/msigdb/cards/GOMF_PROTEIN_SEQUESTERING_ACTIVITY.html","GOMF_PROTEIN_SEQUESTERING_ACTIVITY")</f>
        <v>GOMF_PROTEIN_SEQUESTERING_ACTIVITY</v>
      </c>
      <c r="C1653" s="4">
        <v>25</v>
      </c>
      <c r="D1653" s="3">
        <v>1.4528760000000001</v>
      </c>
      <c r="E1653" s="1">
        <v>5.6198347000000003E-2</v>
      </c>
      <c r="F1653" s="2">
        <v>9.1053430000000005E-2</v>
      </c>
    </row>
    <row r="1654" spans="1:6" x14ac:dyDescent="0.25">
      <c r="A1654" t="s">
        <v>7</v>
      </c>
      <c r="B1654" s="5" t="str">
        <f>HYPERLINK("http://www.broadinstitute.org/gsea/msigdb/cards/GOCC_SECRETORY_GRANULE_MEMBRANE.html","GOCC_SECRETORY_GRANULE_MEMBRANE")</f>
        <v>GOCC_SECRETORY_GRANULE_MEMBRANE</v>
      </c>
      <c r="C1654" s="4">
        <v>83</v>
      </c>
      <c r="D1654" s="3">
        <v>1.4527037</v>
      </c>
      <c r="E1654" s="1">
        <v>2.5437201999999999E-2</v>
      </c>
      <c r="F1654" s="2">
        <v>9.1124860000000002E-2</v>
      </c>
    </row>
    <row r="1655" spans="1:6" x14ac:dyDescent="0.25">
      <c r="A1655" t="s">
        <v>6</v>
      </c>
      <c r="B1655" s="5" t="str">
        <f>HYPERLINK("http://www.broadinstitute.org/gsea/msigdb/cards/GOBP_REGULATION_OF_FATTY_ACID_TRANSPORT.html","GOBP_REGULATION_OF_FATTY_ACID_TRANSPORT")</f>
        <v>GOBP_REGULATION_OF_FATTY_ACID_TRANSPORT</v>
      </c>
      <c r="C1655" s="4">
        <v>38</v>
      </c>
      <c r="D1655" s="3">
        <v>1.4526616000000001</v>
      </c>
      <c r="E1655" s="1">
        <v>5.5183946999999997E-2</v>
      </c>
      <c r="F1655" s="2">
        <v>9.1102500000000003E-2</v>
      </c>
    </row>
    <row r="1656" spans="1:6" x14ac:dyDescent="0.25">
      <c r="A1656" t="s">
        <v>6</v>
      </c>
      <c r="B1656" s="5" t="str">
        <f>HYPERLINK("http://www.broadinstitute.org/gsea/msigdb/cards/GOBP_REGULATION_OF_MEMBRANE_LIPID_DISTRIBUTION.html","GOBP_REGULATION_OF_MEMBRANE_LIPID_DISTRIBUTION")</f>
        <v>GOBP_REGULATION_OF_MEMBRANE_LIPID_DISTRIBUTION</v>
      </c>
      <c r="C1656" s="4">
        <v>56</v>
      </c>
      <c r="D1656" s="3">
        <v>1.4521952</v>
      </c>
      <c r="E1656" s="1">
        <v>2.2950819000000001E-2</v>
      </c>
      <c r="F1656" s="2">
        <v>9.1362520000000003E-2</v>
      </c>
    </row>
    <row r="1657" spans="1:6" x14ac:dyDescent="0.25">
      <c r="A1657" t="s">
        <v>6</v>
      </c>
      <c r="B1657" s="5" t="str">
        <f>HYPERLINK("http://www.broadinstitute.org/gsea/msigdb/cards/GOBP_T_HELPER_17_CELL_DIFFERENTIATION.html","GOBP_T_HELPER_17_CELL_DIFFERENTIATION")</f>
        <v>GOBP_T_HELPER_17_CELL_DIFFERENTIATION</v>
      </c>
      <c r="C1657" s="4">
        <v>31</v>
      </c>
      <c r="D1657" s="3">
        <v>1.4521120999999999</v>
      </c>
      <c r="E1657" s="1">
        <v>4.9235991999999999E-2</v>
      </c>
      <c r="F1657" s="2">
        <v>9.1363529999999998E-2</v>
      </c>
    </row>
    <row r="1658" spans="1:6" x14ac:dyDescent="0.25">
      <c r="A1658" t="s">
        <v>6</v>
      </c>
      <c r="B1658" s="5" t="str">
        <f>HYPERLINK("http://www.broadinstitute.org/gsea/msigdb/cards/GOBP_NEGATIVE_REGULATION_OF_RESPONSE_TO_CYTOKINE_STIMULUS.html","GOBP_NEGATIVE_REGULATION_OF_RESPONSE_TO_CYTOKINE_STIMULUS")</f>
        <v>GOBP_NEGATIVE_REGULATION_OF_RESPONSE_TO_CYTOKINE_STIMULUS</v>
      </c>
      <c r="C1658" s="4">
        <v>77</v>
      </c>
      <c r="D1658" s="3">
        <v>1.4520101999999999</v>
      </c>
      <c r="E1658" s="1">
        <v>1.8092105000000001E-2</v>
      </c>
      <c r="F1658" s="2">
        <v>9.1362570000000004E-2</v>
      </c>
    </row>
    <row r="1659" spans="1:6" x14ac:dyDescent="0.25">
      <c r="A1659" t="s">
        <v>8</v>
      </c>
      <c r="B1659" s="5" t="str">
        <f>HYPERLINK("http://www.broadinstitute.org/gsea/msigdb/cards/GOMF_BETA_2_MICROGLOBULIN_BINDING.html","GOMF_BETA_2_MICROGLOBULIN_BINDING")</f>
        <v>GOMF_BETA_2_MICROGLOBULIN_BINDING</v>
      </c>
      <c r="C1659" s="4">
        <v>17</v>
      </c>
      <c r="D1659" s="3">
        <v>1.4514697000000001</v>
      </c>
      <c r="E1659" s="1">
        <v>7.5085330000000006E-2</v>
      </c>
      <c r="F1659" s="2">
        <v>9.1697050000000002E-2</v>
      </c>
    </row>
    <row r="1660" spans="1:6" x14ac:dyDescent="0.25">
      <c r="A1660" t="s">
        <v>10</v>
      </c>
      <c r="B1660" s="5" t="str">
        <f>HYPERLINK("http://www.broadinstitute.org/gsea/msigdb/cards/REACTOME_IKK_COMPLEX_RECRUITMENT_MEDIATED_BY_RIP1.html","REACTOME_IKK_COMPLEX_RECRUITMENT_MEDIATED_BY_RIP1")</f>
        <v>REACTOME_IKK_COMPLEX_RECRUITMENT_MEDIATED_BY_RIP1</v>
      </c>
      <c r="C1660" s="4">
        <v>23</v>
      </c>
      <c r="D1660" s="3">
        <v>1.4512373999999999</v>
      </c>
      <c r="E1660" s="1">
        <v>5.6506849999999997E-2</v>
      </c>
      <c r="F1660" s="2">
        <v>9.1799385999999997E-2</v>
      </c>
    </row>
    <row r="1661" spans="1:6" x14ac:dyDescent="0.25">
      <c r="A1661" t="s">
        <v>6</v>
      </c>
      <c r="B1661" s="5" t="str">
        <f>HYPERLINK("http://www.broadinstitute.org/gsea/msigdb/cards/GOBP_RESPONSE_TO_DECREASED_OXYGEN_LEVELS.html","GOBP_RESPONSE_TO_DECREASED_OXYGEN_LEVELS")</f>
        <v>GOBP_RESPONSE_TO_DECREASED_OXYGEN_LEVELS</v>
      </c>
      <c r="C1661" s="4">
        <v>229</v>
      </c>
      <c r="D1661" s="3">
        <v>1.4506273999999999</v>
      </c>
      <c r="E1661" s="1">
        <v>2.7932959999999998E-3</v>
      </c>
      <c r="F1661" s="2">
        <v>9.2162599999999997E-2</v>
      </c>
    </row>
    <row r="1662" spans="1:6" x14ac:dyDescent="0.25">
      <c r="A1662" t="s">
        <v>6</v>
      </c>
      <c r="B1662" s="5" t="str">
        <f>HYPERLINK("http://www.broadinstitute.org/gsea/msigdb/cards/GOBP_LIPID_STORAGE.html","GOBP_LIPID_STORAGE")</f>
        <v>GOBP_LIPID_STORAGE</v>
      </c>
      <c r="C1662" s="4">
        <v>99</v>
      </c>
      <c r="D1662" s="3">
        <v>1.4504632</v>
      </c>
      <c r="E1662" s="1">
        <v>1.4128729E-2</v>
      </c>
      <c r="F1662" s="2">
        <v>9.2218675E-2</v>
      </c>
    </row>
    <row r="1663" spans="1:6" x14ac:dyDescent="0.25">
      <c r="A1663" t="s">
        <v>6</v>
      </c>
      <c r="B1663" s="5" t="str">
        <f>HYPERLINK("http://www.broadinstitute.org/gsea/msigdb/cards/GOBP_POSITIVE_REGULATION_OF_REGULATORY_T_CELL_DIFFERENTIATION.html","GOBP_POSITIVE_REGULATION_OF_REGULATORY_T_CELL_DIFFERENTIATION")</f>
        <v>GOBP_POSITIVE_REGULATION_OF_REGULATORY_T_CELL_DIFFERENTIATION</v>
      </c>
      <c r="C1663" s="4">
        <v>21</v>
      </c>
      <c r="D1663" s="3">
        <v>1.4502159999999999</v>
      </c>
      <c r="E1663" s="1">
        <v>6.5371020000000002E-2</v>
      </c>
      <c r="F1663" s="2">
        <v>9.2335515000000007E-2</v>
      </c>
    </row>
    <row r="1664" spans="1:6" x14ac:dyDescent="0.25">
      <c r="A1664" t="s">
        <v>6</v>
      </c>
      <c r="B1664" s="5" t="str">
        <f>HYPERLINK("http://www.broadinstitute.org/gsea/msigdb/cards/GOBP_REGULATION_OF_EXOCYTOSIS.html","GOBP_REGULATION_OF_EXOCYTOSIS")</f>
        <v>GOBP_REGULATION_OF_EXOCYTOSIS</v>
      </c>
      <c r="C1664" s="4">
        <v>217</v>
      </c>
      <c r="D1664" s="3">
        <v>1.4501866999999999</v>
      </c>
      <c r="E1664" s="1">
        <v>7.1022730000000001E-3</v>
      </c>
      <c r="F1664" s="2">
        <v>9.2310569999999995E-2</v>
      </c>
    </row>
    <row r="1665" spans="1:6" x14ac:dyDescent="0.25">
      <c r="A1665" t="s">
        <v>6</v>
      </c>
      <c r="B1665" s="5" t="str">
        <f>HYPERLINK("http://www.broadinstitute.org/gsea/msigdb/cards/GOBP_OVULATION_CYCLE_PROCESS.html","GOBP_OVULATION_CYCLE_PROCESS")</f>
        <v>GOBP_OVULATION_CYCLE_PROCESS</v>
      </c>
      <c r="C1665" s="4">
        <v>53</v>
      </c>
      <c r="D1665" s="3">
        <v>1.4496613</v>
      </c>
      <c r="E1665" s="1">
        <v>2.5597268999999999E-2</v>
      </c>
      <c r="F1665" s="2">
        <v>9.2606276000000001E-2</v>
      </c>
    </row>
    <row r="1666" spans="1:6" x14ac:dyDescent="0.25">
      <c r="A1666" t="s">
        <v>6</v>
      </c>
      <c r="B1666" s="5" t="str">
        <f>HYPERLINK("http://www.broadinstitute.org/gsea/msigdb/cards/GOBP_NEURON_PROJECTION_REGENERATION.html","GOBP_NEURON_PROJECTION_REGENERATION")</f>
        <v>GOBP_NEURON_PROJECTION_REGENERATION</v>
      </c>
      <c r="C1666" s="4">
        <v>65</v>
      </c>
      <c r="D1666" s="3">
        <v>1.4495317999999999</v>
      </c>
      <c r="E1666" s="1">
        <v>2.511774E-2</v>
      </c>
      <c r="F1666" s="2">
        <v>9.2633225E-2</v>
      </c>
    </row>
    <row r="1667" spans="1:6" x14ac:dyDescent="0.25">
      <c r="A1667" t="s">
        <v>10</v>
      </c>
      <c r="B1667" s="5" t="str">
        <f>HYPERLINK("http://www.broadinstitute.org/gsea/msigdb/cards/REACTOME_RHOF_GTPASE_CYCLE.html","REACTOME_RHOF_GTPASE_CYCLE")</f>
        <v>REACTOME_RHOF_GTPASE_CYCLE</v>
      </c>
      <c r="C1667" s="4">
        <v>40</v>
      </c>
      <c r="D1667" s="3">
        <v>1.4491552999999999</v>
      </c>
      <c r="E1667" s="1">
        <v>3.0354130999999999E-2</v>
      </c>
      <c r="F1667" s="2">
        <v>9.2817220000000006E-2</v>
      </c>
    </row>
    <row r="1668" spans="1:6" x14ac:dyDescent="0.25">
      <c r="A1668" t="s">
        <v>6</v>
      </c>
      <c r="B1668" s="5" t="str">
        <f>HYPERLINK("http://www.broadinstitute.org/gsea/msigdb/cards/GOBP_REGULATION_OF_ERYTHROCYTE_DIFFERENTIATION.html","GOBP_REGULATION_OF_ERYTHROCYTE_DIFFERENTIATION")</f>
        <v>GOBP_REGULATION_OF_ERYTHROCYTE_DIFFERENTIATION</v>
      </c>
      <c r="C1668" s="4">
        <v>49</v>
      </c>
      <c r="D1668" s="3">
        <v>1.4488409</v>
      </c>
      <c r="E1668" s="1">
        <v>1.980198E-2</v>
      </c>
      <c r="F1668" s="2">
        <v>9.2980099999999996E-2</v>
      </c>
    </row>
    <row r="1669" spans="1:6" x14ac:dyDescent="0.25">
      <c r="A1669" t="s">
        <v>11</v>
      </c>
      <c r="B1669" s="5" t="str">
        <f>HYPERLINK("http://www.broadinstitute.org/gsea/msigdb/cards/WP_OMEGA_3_OMEGA_6_FATTY_ACID_SYNTHESIS.html","WP_OMEGA_3_OMEGA_6_FATTY_ACID_SYNTHESIS")</f>
        <v>WP_OMEGA_3_OMEGA_6_FATTY_ACID_SYNTHESIS</v>
      </c>
      <c r="C1669" s="4">
        <v>15</v>
      </c>
      <c r="D1669" s="3">
        <v>1.4486589999999999</v>
      </c>
      <c r="E1669" s="1">
        <v>5.7040997000000003E-2</v>
      </c>
      <c r="F1669" s="2">
        <v>9.306014E-2</v>
      </c>
    </row>
    <row r="1670" spans="1:6" x14ac:dyDescent="0.25">
      <c r="A1670" t="s">
        <v>6</v>
      </c>
      <c r="B1670" s="5" t="str">
        <f>HYPERLINK("http://www.broadinstitute.org/gsea/msigdb/cards/GOBP_HETEROPHILIC_CELL_CELL_ADHESION_VIA_PLASMA_MEMBRANE_CELL_ADHESION_MOLECULES.html","GOBP_HETEROPHILIC_CELL_CELL_ADHESION_VIA_PLASMA_MEMBRANE_CELL_ADHESION_MOLECULES")</f>
        <v>GOBP_HETEROPHILIC_CELL_CELL_ADHESION_VIA_PLASMA_MEMBRANE_CELL_ADHESION_MOLECULES</v>
      </c>
      <c r="C1670" s="4">
        <v>49</v>
      </c>
      <c r="D1670" s="3">
        <v>1.4482785</v>
      </c>
      <c r="E1670" s="1">
        <v>3.1509120000000002E-2</v>
      </c>
      <c r="F1670" s="2">
        <v>9.3277009999999994E-2</v>
      </c>
    </row>
    <row r="1671" spans="1:6" x14ac:dyDescent="0.25">
      <c r="A1671" t="s">
        <v>6</v>
      </c>
      <c r="B1671" s="5" t="str">
        <f>HYPERLINK("http://www.broadinstitute.org/gsea/msigdb/cards/GOBP_CERAMIDE_METABOLIC_PROCESS.html","GOBP_CERAMIDE_METABOLIC_PROCESS")</f>
        <v>GOBP_CERAMIDE_METABOLIC_PROCESS</v>
      </c>
      <c r="C1671" s="4">
        <v>97</v>
      </c>
      <c r="D1671" s="3">
        <v>1.4477926000000001</v>
      </c>
      <c r="E1671" s="1">
        <v>1.5948962000000001E-2</v>
      </c>
      <c r="F1671" s="2">
        <v>9.3614610000000001E-2</v>
      </c>
    </row>
    <row r="1672" spans="1:6" x14ac:dyDescent="0.25">
      <c r="A1672" t="s">
        <v>6</v>
      </c>
      <c r="B1672" s="5" t="str">
        <f>HYPERLINK("http://www.broadinstitute.org/gsea/msigdb/cards/GOBP_REGULATION_OF_CALCIUM_MEDIATED_SIGNALING.html","GOBP_REGULATION_OF_CALCIUM_MEDIATED_SIGNALING")</f>
        <v>GOBP_REGULATION_OF_CALCIUM_MEDIATED_SIGNALING</v>
      </c>
      <c r="C1672" s="4">
        <v>87</v>
      </c>
      <c r="D1672" s="3">
        <v>1.4474385000000001</v>
      </c>
      <c r="E1672" s="1">
        <v>1.9637462000000001E-2</v>
      </c>
      <c r="F1672" s="2">
        <v>9.3805139999999995E-2</v>
      </c>
    </row>
    <row r="1673" spans="1:6" x14ac:dyDescent="0.25">
      <c r="A1673" t="s">
        <v>6</v>
      </c>
      <c r="B1673" s="5" t="str">
        <f>HYPERLINK("http://www.broadinstitute.org/gsea/msigdb/cards/GOBP_REGULATION_OF_CELLULAR_SENESCENCE.html","GOBP_REGULATION_OF_CELLULAR_SENESCENCE")</f>
        <v>GOBP_REGULATION_OF_CELLULAR_SENESCENCE</v>
      </c>
      <c r="C1673" s="4">
        <v>47</v>
      </c>
      <c r="D1673" s="3">
        <v>1.4471877</v>
      </c>
      <c r="E1673" s="1">
        <v>2.8799999999999999E-2</v>
      </c>
      <c r="F1673" s="2">
        <v>9.3937129999999994E-2</v>
      </c>
    </row>
    <row r="1674" spans="1:6" x14ac:dyDescent="0.25">
      <c r="A1674" t="s">
        <v>10</v>
      </c>
      <c r="B1674" s="5" t="str">
        <f>HYPERLINK("http://www.broadinstitute.org/gsea/msigdb/cards/REACTOME_NRAGE_SIGNALS_DEATH_THROUGH_JNK.html","REACTOME_NRAGE_SIGNALS_DEATH_THROUGH_JNK")</f>
        <v>REACTOME_NRAGE_SIGNALS_DEATH_THROUGH_JNK</v>
      </c>
      <c r="C1674" s="4">
        <v>51</v>
      </c>
      <c r="D1674" s="3">
        <v>1.4470472000000001</v>
      </c>
      <c r="E1674" s="1">
        <v>2.8892456E-2</v>
      </c>
      <c r="F1674" s="2">
        <v>9.3972169999999994E-2</v>
      </c>
    </row>
    <row r="1675" spans="1:6" x14ac:dyDescent="0.25">
      <c r="A1675" t="s">
        <v>6</v>
      </c>
      <c r="B1675" s="5" t="str">
        <f>HYPERLINK("http://www.broadinstitute.org/gsea/msigdb/cards/GOBP_PYRIMIDINE_NUCLEOBASE_METABOLIC_PROCESS.html","GOBP_PYRIMIDINE_NUCLEOBASE_METABOLIC_PROCESS")</f>
        <v>GOBP_PYRIMIDINE_NUCLEOBASE_METABOLIC_PROCESS</v>
      </c>
      <c r="C1675" s="4">
        <v>19</v>
      </c>
      <c r="D1675" s="3">
        <v>1.446874</v>
      </c>
      <c r="E1675" s="1">
        <v>5.5652174999999998E-2</v>
      </c>
      <c r="F1675" s="2">
        <v>9.4037709999999997E-2</v>
      </c>
    </row>
    <row r="1676" spans="1:6" x14ac:dyDescent="0.25">
      <c r="A1676" t="s">
        <v>7</v>
      </c>
      <c r="B1676" s="5" t="str">
        <f>HYPERLINK("http://www.broadinstitute.org/gsea/msigdb/cards/GOCC_SECRETORY_GRANULE.html","GOCC_SECRETORY_GRANULE")</f>
        <v>GOCC_SECRETORY_GRANULE</v>
      </c>
      <c r="C1676" s="4">
        <v>407</v>
      </c>
      <c r="D1676" s="3">
        <v>1.4468030999999999</v>
      </c>
      <c r="E1676" s="1">
        <v>1.2787724E-3</v>
      </c>
      <c r="F1676" s="2">
        <v>9.4028870000000001E-2</v>
      </c>
    </row>
    <row r="1677" spans="1:6" x14ac:dyDescent="0.25">
      <c r="A1677" t="s">
        <v>6</v>
      </c>
      <c r="B1677" s="5" t="str">
        <f>HYPERLINK("http://www.broadinstitute.org/gsea/msigdb/cards/GOBP_AUTOPHAGOSOME_MATURATION.html","GOBP_AUTOPHAGOSOME_MATURATION")</f>
        <v>GOBP_AUTOPHAGOSOME_MATURATION</v>
      </c>
      <c r="C1677" s="4">
        <v>54</v>
      </c>
      <c r="D1677" s="3">
        <v>1.4467673000000001</v>
      </c>
      <c r="E1677" s="1">
        <v>4.0518638000000003E-2</v>
      </c>
      <c r="F1677" s="2">
        <v>9.3995295000000006E-2</v>
      </c>
    </row>
    <row r="1678" spans="1:6" x14ac:dyDescent="0.25">
      <c r="A1678" t="s">
        <v>6</v>
      </c>
      <c r="B1678" s="5" t="str">
        <f>HYPERLINK("http://www.broadinstitute.org/gsea/msigdb/cards/GOBP_CHEMOKINE_C_X_C_MOTIF_LIGAND_2_PRODUCTION.html","GOBP_CHEMOKINE_C_X_C_MOTIF_LIGAND_2_PRODUCTION")</f>
        <v>GOBP_CHEMOKINE_C_X_C_MOTIF_LIGAND_2_PRODUCTION</v>
      </c>
      <c r="C1678" s="4">
        <v>28</v>
      </c>
      <c r="D1678" s="3">
        <v>1.4465663</v>
      </c>
      <c r="E1678" s="1">
        <v>5.840708E-2</v>
      </c>
      <c r="F1678" s="2">
        <v>9.4078355000000002E-2</v>
      </c>
    </row>
    <row r="1679" spans="1:6" x14ac:dyDescent="0.25">
      <c r="A1679" t="s">
        <v>6</v>
      </c>
      <c r="B1679" s="5" t="str">
        <f>HYPERLINK("http://www.broadinstitute.org/gsea/msigdb/cards/GOBP_EXTRACELLULAR_MATRIX_DISASSEMBLY.html","GOBP_EXTRACELLULAR_MATRIX_DISASSEMBLY")</f>
        <v>GOBP_EXTRACELLULAR_MATRIX_DISASSEMBLY</v>
      </c>
      <c r="C1679" s="4">
        <v>37</v>
      </c>
      <c r="D1679" s="3">
        <v>1.4464501999999999</v>
      </c>
      <c r="E1679" s="1">
        <v>4.8154093000000002E-2</v>
      </c>
      <c r="F1679" s="2">
        <v>9.4104245000000003E-2</v>
      </c>
    </row>
    <row r="1680" spans="1:6" x14ac:dyDescent="0.25">
      <c r="A1680" t="s">
        <v>8</v>
      </c>
      <c r="B1680" s="5" t="str">
        <f>HYPERLINK("http://www.broadinstitute.org/gsea/msigdb/cards/GOMF_ATP_DEPENDENT_ACTIVITY_ACTING_ON_RNA.html","GOMF_ATP_DEPENDENT_ACTIVITY_ACTING_ON_RNA")</f>
        <v>GOMF_ATP_DEPENDENT_ACTIVITY_ACTING_ON_RNA</v>
      </c>
      <c r="C1680" s="4">
        <v>73</v>
      </c>
      <c r="D1680" s="3">
        <v>1.4463322000000001</v>
      </c>
      <c r="E1680" s="1">
        <v>1.8181817999999999E-2</v>
      </c>
      <c r="F1680" s="2">
        <v>9.4135910000000003E-2</v>
      </c>
    </row>
    <row r="1681" spans="1:6" x14ac:dyDescent="0.25">
      <c r="A1681" t="s">
        <v>10</v>
      </c>
      <c r="B1681" s="5" t="str">
        <f>HYPERLINK("http://www.broadinstitute.org/gsea/msigdb/cards/REACTOME_SIGNALING_BY_NTRK1_TRKA.html","REACTOME_SIGNALING_BY_NTRK1_TRKA")</f>
        <v>REACTOME_SIGNALING_BY_NTRK1_TRKA</v>
      </c>
      <c r="C1681" s="4">
        <v>63</v>
      </c>
      <c r="D1681" s="3">
        <v>1.4462291</v>
      </c>
      <c r="E1681" s="1">
        <v>3.4035656999999997E-2</v>
      </c>
      <c r="F1681" s="2">
        <v>9.4143619999999997E-2</v>
      </c>
    </row>
    <row r="1682" spans="1:6" x14ac:dyDescent="0.25">
      <c r="A1682" t="s">
        <v>6</v>
      </c>
      <c r="B1682" s="5" t="str">
        <f>HYPERLINK("http://www.broadinstitute.org/gsea/msigdb/cards/GOBP_NEGATIVE_REGULATION_OF_SIGNALING_RECEPTOR_ACTIVITY.html","GOBP_NEGATIVE_REGULATION_OF_SIGNALING_RECEPTOR_ACTIVITY")</f>
        <v>GOBP_NEGATIVE_REGULATION_OF_SIGNALING_RECEPTOR_ACTIVITY</v>
      </c>
      <c r="C1682" s="4">
        <v>34</v>
      </c>
      <c r="D1682" s="3">
        <v>1.4460257999999999</v>
      </c>
      <c r="E1682" s="1">
        <v>4.9050633000000003E-2</v>
      </c>
      <c r="F1682" s="2">
        <v>9.423347E-2</v>
      </c>
    </row>
    <row r="1683" spans="1:6" x14ac:dyDescent="0.25">
      <c r="A1683" t="s">
        <v>10</v>
      </c>
      <c r="B1683" s="5" t="str">
        <f>HYPERLINK("http://www.broadinstitute.org/gsea/msigdb/cards/REACTOME_ASPIRIN_ADME.html","REACTOME_ASPIRIN_ADME")</f>
        <v>REACTOME_ASPIRIN_ADME</v>
      </c>
      <c r="C1683" s="4">
        <v>23</v>
      </c>
      <c r="D1683" s="3">
        <v>1.4460067000000001</v>
      </c>
      <c r="E1683" s="1">
        <v>6.473595E-2</v>
      </c>
      <c r="F1683" s="2">
        <v>9.4192200000000004E-2</v>
      </c>
    </row>
    <row r="1684" spans="1:6" x14ac:dyDescent="0.25">
      <c r="A1684" t="s">
        <v>6</v>
      </c>
      <c r="B1684" s="5" t="str">
        <f>HYPERLINK("http://www.broadinstitute.org/gsea/msigdb/cards/GOBP_EXECUTION_PHASE_OF_APOPTOSIS.html","GOBP_EXECUTION_PHASE_OF_APOPTOSIS")</f>
        <v>GOBP_EXECUTION_PHASE_OF_APOPTOSIS</v>
      </c>
      <c r="C1684" s="4">
        <v>73</v>
      </c>
      <c r="D1684" s="3">
        <v>1.4459839999999999</v>
      </c>
      <c r="E1684" s="1">
        <v>1.7405062999999998E-2</v>
      </c>
      <c r="F1684" s="2">
        <v>9.4153576000000003E-2</v>
      </c>
    </row>
    <row r="1685" spans="1:6" x14ac:dyDescent="0.25">
      <c r="A1685" t="s">
        <v>6</v>
      </c>
      <c r="B1685" s="5" t="str">
        <f>HYPERLINK("http://www.broadinstitute.org/gsea/msigdb/cards/GOBP_HEPATICOBILIARY_SYSTEM_DEVELOPMENT.html","GOBP_HEPATICOBILIARY_SYSTEM_DEVELOPMENT")</f>
        <v>GOBP_HEPATICOBILIARY_SYSTEM_DEVELOPMENT</v>
      </c>
      <c r="C1685" s="4">
        <v>138</v>
      </c>
      <c r="D1685" s="3">
        <v>1.4448479999999999</v>
      </c>
      <c r="E1685" s="1">
        <v>4.5454544000000001E-3</v>
      </c>
      <c r="F1685" s="2">
        <v>9.4902954999999997E-2</v>
      </c>
    </row>
    <row r="1686" spans="1:6" x14ac:dyDescent="0.25">
      <c r="A1686" t="s">
        <v>6</v>
      </c>
      <c r="B1686" s="5" t="str">
        <f>HYPERLINK("http://www.broadinstitute.org/gsea/msigdb/cards/GOBP_IMMUNE_SYSTEM_DEVELOPMENT.html","GOBP_IMMUNE_SYSTEM_DEVELOPMENT")</f>
        <v>GOBP_IMMUNE_SYSTEM_DEVELOPMENT</v>
      </c>
      <c r="C1686" s="4">
        <v>235</v>
      </c>
      <c r="D1686" s="3">
        <v>1.4446654000000001</v>
      </c>
      <c r="E1686" s="1">
        <v>2.8653296E-3</v>
      </c>
      <c r="F1686" s="2">
        <v>9.4979934000000002E-2</v>
      </c>
    </row>
    <row r="1687" spans="1:6" x14ac:dyDescent="0.25">
      <c r="A1687" t="s">
        <v>8</v>
      </c>
      <c r="B1687" s="5" t="str">
        <f>HYPERLINK("http://www.broadinstitute.org/gsea/msigdb/cards/GOMF_CYCLIC_NUCLEOTIDE_PHOSPHODIESTERASE_ACTIVITY.html","GOMF_CYCLIC_NUCLEOTIDE_PHOSPHODIESTERASE_ACTIVITY")</f>
        <v>GOMF_CYCLIC_NUCLEOTIDE_PHOSPHODIESTERASE_ACTIVITY</v>
      </c>
      <c r="C1687" s="4">
        <v>25</v>
      </c>
      <c r="D1687" s="3">
        <v>1.4446232000000001</v>
      </c>
      <c r="E1687" s="1">
        <v>4.72973E-2</v>
      </c>
      <c r="F1687" s="2">
        <v>9.4957605E-2</v>
      </c>
    </row>
    <row r="1688" spans="1:6" x14ac:dyDescent="0.25">
      <c r="A1688" t="s">
        <v>6</v>
      </c>
      <c r="B1688" s="5" t="str">
        <f>HYPERLINK("http://www.broadinstitute.org/gsea/msigdb/cards/GOBP_HEART_TRABECULA_MORPHOGENESIS.html","GOBP_HEART_TRABECULA_MORPHOGENESIS")</f>
        <v>GOBP_HEART_TRABECULA_MORPHOGENESIS</v>
      </c>
      <c r="C1688" s="4">
        <v>35</v>
      </c>
      <c r="D1688" s="3">
        <v>1.4444127</v>
      </c>
      <c r="E1688" s="1">
        <v>3.0612245E-2</v>
      </c>
      <c r="F1688" s="2">
        <v>9.5058740000000003E-2</v>
      </c>
    </row>
    <row r="1689" spans="1:6" x14ac:dyDescent="0.25">
      <c r="A1689" t="s">
        <v>5</v>
      </c>
      <c r="B1689" s="5" t="str">
        <f>HYPERLINK("http://www.broadinstitute.org/gsea/msigdb/cards/BIOCARTA_BCR_PATHWAY.html","BIOCARTA_BCR_PATHWAY")</f>
        <v>BIOCARTA_BCR_PATHWAY</v>
      </c>
      <c r="C1689" s="4">
        <v>31</v>
      </c>
      <c r="D1689" s="3">
        <v>1.4444102999999999</v>
      </c>
      <c r="E1689" s="1">
        <v>4.2975206000000002E-2</v>
      </c>
      <c r="F1689" s="2">
        <v>9.5003660000000004E-2</v>
      </c>
    </row>
    <row r="1690" spans="1:6" x14ac:dyDescent="0.25">
      <c r="A1690" t="s">
        <v>7</v>
      </c>
      <c r="B1690" s="5" t="str">
        <f>HYPERLINK("http://www.broadinstitute.org/gsea/msigdb/cards/GOCC_BRUSH_BORDER.html","GOCC_BRUSH_BORDER")</f>
        <v>GOCC_BRUSH_BORDER</v>
      </c>
      <c r="C1690" s="4">
        <v>141</v>
      </c>
      <c r="D1690" s="3">
        <v>1.4443467999999999</v>
      </c>
      <c r="E1690" s="1">
        <v>1.4492754E-2</v>
      </c>
      <c r="F1690" s="2">
        <v>9.4990340000000006E-2</v>
      </c>
    </row>
    <row r="1691" spans="1:6" x14ac:dyDescent="0.25">
      <c r="A1691" t="s">
        <v>6</v>
      </c>
      <c r="B1691" s="5" t="str">
        <f>HYPERLINK("http://www.broadinstitute.org/gsea/msigdb/cards/GOBP_POSITIVE_REGULATION_OF_TRANSMEMBRANE_RECEPTOR_PROTEIN_SERINE_THREONINE_KINASE_SIGNALING_PATHWAY.html","GOBP_POSITIVE_REGULATION_OF_TRANSMEMBRANE_RECEPTOR_PROTEIN_SERINE_THREONINE_KINASE_SIGNALING_PATHWAY")</f>
        <v>GOBP_POSITIVE_REGULATION_OF_TRANSMEMBRANE_RECEPTOR_PROTEIN_SERINE_THREONINE_KINASE_SIGNALING_PATHWAY</v>
      </c>
      <c r="C1691" s="4">
        <v>100</v>
      </c>
      <c r="D1691" s="3">
        <v>1.4430540000000001</v>
      </c>
      <c r="E1691" s="1">
        <v>1.1128776E-2</v>
      </c>
      <c r="F1691" s="2">
        <v>9.5862039999999996E-2</v>
      </c>
    </row>
    <row r="1692" spans="1:6" x14ac:dyDescent="0.25">
      <c r="A1692" t="s">
        <v>6</v>
      </c>
      <c r="B1692" s="5" t="str">
        <f>HYPERLINK("http://www.broadinstitute.org/gsea/msigdb/cards/GOBP_POSITIVE_REGULATION_OF_AUTOPHAGY.html","GOBP_POSITIVE_REGULATION_OF_AUTOPHAGY")</f>
        <v>GOBP_POSITIVE_REGULATION_OF_AUTOPHAGY</v>
      </c>
      <c r="C1692" s="4">
        <v>154</v>
      </c>
      <c r="D1692" s="3">
        <v>1.4430227</v>
      </c>
      <c r="E1692" s="1">
        <v>1.0542167999999999E-2</v>
      </c>
      <c r="F1692" s="2">
        <v>9.5829020000000001E-2</v>
      </c>
    </row>
    <row r="1693" spans="1:6" x14ac:dyDescent="0.25">
      <c r="A1693" t="s">
        <v>10</v>
      </c>
      <c r="B1693" s="5" t="str">
        <f>HYPERLINK("http://www.broadinstitute.org/gsea/msigdb/cards/REACTOME_SIGNALING_BY_ERYTHROPOIETIN.html","REACTOME_SIGNALING_BY_ERYTHROPOIETIN")</f>
        <v>REACTOME_SIGNALING_BY_ERYTHROPOIETIN</v>
      </c>
      <c r="C1693" s="4">
        <v>16</v>
      </c>
      <c r="D1693" s="3">
        <v>1.4428106999999999</v>
      </c>
      <c r="E1693" s="1">
        <v>6.4171119999999998E-2</v>
      </c>
      <c r="F1693" s="2">
        <v>9.5931310000000006E-2</v>
      </c>
    </row>
    <row r="1694" spans="1:6" x14ac:dyDescent="0.25">
      <c r="A1694" t="s">
        <v>6</v>
      </c>
      <c r="B1694" s="5" t="str">
        <f>HYPERLINK("http://www.broadinstitute.org/gsea/msigdb/cards/GOBP_NONRIBOSOMAL_PEPTIDE_BIOSYNTHETIC_PROCESS.html","GOBP_NONRIBOSOMAL_PEPTIDE_BIOSYNTHETIC_PROCESS")</f>
        <v>GOBP_NONRIBOSOMAL_PEPTIDE_BIOSYNTHETIC_PROCESS</v>
      </c>
      <c r="C1694" s="4">
        <v>16</v>
      </c>
      <c r="D1694" s="3">
        <v>1.4426854</v>
      </c>
      <c r="E1694" s="1">
        <v>8.5867620000000006E-2</v>
      </c>
      <c r="F1694" s="2">
        <v>9.5966170000000003E-2</v>
      </c>
    </row>
    <row r="1695" spans="1:6" x14ac:dyDescent="0.25">
      <c r="A1695" t="s">
        <v>6</v>
      </c>
      <c r="B1695" s="5" t="str">
        <f>HYPERLINK("http://www.broadinstitute.org/gsea/msigdb/cards/GOBP_POSITIVE_REGULATION_OF_CALCIUM_MEDIATED_SIGNALING.html","GOBP_POSITIVE_REGULATION_OF_CALCIUM_MEDIATED_SIGNALING")</f>
        <v>GOBP_POSITIVE_REGULATION_OF_CALCIUM_MEDIATED_SIGNALING</v>
      </c>
      <c r="C1695" s="4">
        <v>46</v>
      </c>
      <c r="D1695" s="3">
        <v>1.4426019000000001</v>
      </c>
      <c r="E1695" s="1">
        <v>4.6849756999999999E-2</v>
      </c>
      <c r="F1695" s="2">
        <v>9.5967670000000005E-2</v>
      </c>
    </row>
    <row r="1696" spans="1:6" x14ac:dyDescent="0.25">
      <c r="A1696" t="s">
        <v>6</v>
      </c>
      <c r="B1696" s="5" t="str">
        <f>HYPERLINK("http://www.broadinstitute.org/gsea/msigdb/cards/GOBP_POSITIVE_REGULATION_OF_HOMOTYPIC_CELL_CELL_ADHESION.html","GOBP_POSITIVE_REGULATION_OF_HOMOTYPIC_CELL_CELL_ADHESION")</f>
        <v>GOBP_POSITIVE_REGULATION_OF_HOMOTYPIC_CELL_CELL_ADHESION</v>
      </c>
      <c r="C1696" s="4">
        <v>15</v>
      </c>
      <c r="D1696" s="3">
        <v>1.4425409</v>
      </c>
      <c r="E1696" s="1">
        <v>6.3683299999999998E-2</v>
      </c>
      <c r="F1696" s="2">
        <v>9.5946779999999995E-2</v>
      </c>
    </row>
    <row r="1697" spans="1:6" x14ac:dyDescent="0.25">
      <c r="A1697" t="s">
        <v>6</v>
      </c>
      <c r="B1697" s="5" t="str">
        <f>HYPERLINK("http://www.broadinstitute.org/gsea/msigdb/cards/GOBP_REGULATION_OF_PROTEIN_IMPORT_INTO_NUCLEUS.html","GOBP_REGULATION_OF_PROTEIN_IMPORT_INTO_NUCLEUS")</f>
        <v>GOBP_REGULATION_OF_PROTEIN_IMPORT_INTO_NUCLEUS</v>
      </c>
      <c r="C1697" s="4">
        <v>78</v>
      </c>
      <c r="D1697" s="3">
        <v>1.4422740999999999</v>
      </c>
      <c r="E1697" s="1">
        <v>2.2222222999999999E-2</v>
      </c>
      <c r="F1697" s="2">
        <v>9.6081904999999995E-2</v>
      </c>
    </row>
    <row r="1698" spans="1:6" x14ac:dyDescent="0.25">
      <c r="A1698" t="s">
        <v>6</v>
      </c>
      <c r="B1698" s="5" t="str">
        <f>HYPERLINK("http://www.broadinstitute.org/gsea/msigdb/cards/GOBP_DEOXYRIBONUCLEOSIDE_MONOPHOSPHATE_CATABOLIC_PROCESS.html","GOBP_DEOXYRIBONUCLEOSIDE_MONOPHOSPHATE_CATABOLIC_PROCESS")</f>
        <v>GOBP_DEOXYRIBONUCLEOSIDE_MONOPHOSPHATE_CATABOLIC_PROCESS</v>
      </c>
      <c r="C1698" s="4">
        <v>19</v>
      </c>
      <c r="D1698" s="3">
        <v>1.4412811000000001</v>
      </c>
      <c r="E1698" s="1">
        <v>6.3032370000000004E-2</v>
      </c>
      <c r="F1698" s="2">
        <v>9.6702083999999994E-2</v>
      </c>
    </row>
    <row r="1699" spans="1:6" x14ac:dyDescent="0.25">
      <c r="A1699" t="s">
        <v>6</v>
      </c>
      <c r="B1699" s="5" t="str">
        <f>HYPERLINK("http://www.broadinstitute.org/gsea/msigdb/cards/GOBP_POSITIVE_REGULATION_OF_PROTEIN_LOCALIZATION_TO_CELL_PERIPHERY.html","GOBP_POSITIVE_REGULATION_OF_PROTEIN_LOCALIZATION_TO_CELL_PERIPHERY")</f>
        <v>GOBP_POSITIVE_REGULATION_OF_PROTEIN_LOCALIZATION_TO_CELL_PERIPHERY</v>
      </c>
      <c r="C1699" s="4">
        <v>74</v>
      </c>
      <c r="D1699" s="3">
        <v>1.4411879999999999</v>
      </c>
      <c r="E1699" s="1">
        <v>1.4040561E-2</v>
      </c>
      <c r="F1699" s="2">
        <v>9.6714094E-2</v>
      </c>
    </row>
    <row r="1700" spans="1:6" x14ac:dyDescent="0.25">
      <c r="A1700" t="s">
        <v>6</v>
      </c>
      <c r="B1700" s="5" t="str">
        <f>HYPERLINK("http://www.broadinstitute.org/gsea/msigdb/cards/GOBP_PROTEIN_COMPLEX_OLIGOMERIZATION.html","GOBP_PROTEIN_COMPLEX_OLIGOMERIZATION")</f>
        <v>GOBP_PROTEIN_COMPLEX_OLIGOMERIZATION</v>
      </c>
      <c r="C1700" s="4">
        <v>255</v>
      </c>
      <c r="D1700" s="3">
        <v>1.4406095999999999</v>
      </c>
      <c r="E1700" s="1">
        <v>5.5555557E-3</v>
      </c>
      <c r="F1700" s="2">
        <v>9.7096180000000004E-2</v>
      </c>
    </row>
    <row r="1701" spans="1:6" x14ac:dyDescent="0.25">
      <c r="A1701" t="s">
        <v>6</v>
      </c>
      <c r="B1701" s="5" t="str">
        <f>HYPERLINK("http://www.broadinstitute.org/gsea/msigdb/cards/GOBP_RESPONSE_TO_OXYGEN_LEVELS.html","GOBP_RESPONSE_TO_OXYGEN_LEVELS")</f>
        <v>GOBP_RESPONSE_TO_OXYGEN_LEVELS</v>
      </c>
      <c r="C1701" s="4">
        <v>251</v>
      </c>
      <c r="D1701" s="3">
        <v>1.4397407</v>
      </c>
      <c r="E1701" s="1">
        <v>2.8248587999999998E-3</v>
      </c>
      <c r="F1701" s="2">
        <v>9.7648219999999994E-2</v>
      </c>
    </row>
    <row r="1702" spans="1:6" x14ac:dyDescent="0.25">
      <c r="A1702" t="s">
        <v>6</v>
      </c>
      <c r="B1702" s="5" t="str">
        <f>HYPERLINK("http://www.broadinstitute.org/gsea/msigdb/cards/GOBP_POSITIVE_REGULATION_OF_PROTEIN_IMPORT_INTO_NUCLEUS.html","GOBP_POSITIVE_REGULATION_OF_PROTEIN_IMPORT_INTO_NUCLEUS")</f>
        <v>GOBP_POSITIVE_REGULATION_OF_PROTEIN_IMPORT_INTO_NUCLEUS</v>
      </c>
      <c r="C1702" s="4">
        <v>53</v>
      </c>
      <c r="D1702" s="3">
        <v>1.4386346000000001</v>
      </c>
      <c r="E1702" s="1">
        <v>4.0387724E-2</v>
      </c>
      <c r="F1702" s="2">
        <v>9.8425399999999996E-2</v>
      </c>
    </row>
    <row r="1703" spans="1:6" x14ac:dyDescent="0.25">
      <c r="A1703" t="s">
        <v>10</v>
      </c>
      <c r="B1703" s="5" t="str">
        <f>HYPERLINK("http://www.broadinstitute.org/gsea/msigdb/cards/REACTOME_INTRINSIC_PATHWAY_FOR_APOPTOSIS.html","REACTOME_INTRINSIC_PATHWAY_FOR_APOPTOSIS")</f>
        <v>REACTOME_INTRINSIC_PATHWAY_FOR_APOPTOSIS</v>
      </c>
      <c r="C1703" s="4">
        <v>38</v>
      </c>
      <c r="D1703" s="3">
        <v>1.4382733999999999</v>
      </c>
      <c r="E1703" s="1">
        <v>5.0761420000000002E-2</v>
      </c>
      <c r="F1703" s="2">
        <v>9.8621249999999994E-2</v>
      </c>
    </row>
    <row r="1704" spans="1:6" x14ac:dyDescent="0.25">
      <c r="A1704" t="s">
        <v>6</v>
      </c>
      <c r="B1704" s="5" t="str">
        <f>HYPERLINK("http://www.broadinstitute.org/gsea/msigdb/cards/GOBP_INOSITOL_PHOSPHATE_BIOSYNTHETIC_PROCESS.html","GOBP_INOSITOL_PHOSPHATE_BIOSYNTHETIC_PROCESS")</f>
        <v>GOBP_INOSITOL_PHOSPHATE_BIOSYNTHETIC_PROCESS</v>
      </c>
      <c r="C1704" s="4">
        <v>31</v>
      </c>
      <c r="D1704" s="3">
        <v>1.4381393</v>
      </c>
      <c r="E1704" s="1">
        <v>5.2991454E-2</v>
      </c>
      <c r="F1704" s="2">
        <v>9.8658179999999998E-2</v>
      </c>
    </row>
    <row r="1705" spans="1:6" x14ac:dyDescent="0.25">
      <c r="A1705" t="s">
        <v>10</v>
      </c>
      <c r="B1705" s="5" t="str">
        <f>HYPERLINK("http://www.broadinstitute.org/gsea/msigdb/cards/REACTOME_INTRINSIC_PATHWAY_OF_FIBRIN_CLOT_FORMATION.html","REACTOME_INTRINSIC_PATHWAY_OF_FIBRIN_CLOT_FORMATION")</f>
        <v>REACTOME_INTRINSIC_PATHWAY_OF_FIBRIN_CLOT_FORMATION</v>
      </c>
      <c r="C1705" s="4">
        <v>22</v>
      </c>
      <c r="D1705" s="3">
        <v>1.4377004</v>
      </c>
      <c r="E1705" s="1">
        <v>6.9565214E-2</v>
      </c>
      <c r="F1705" s="2">
        <v>9.893383E-2</v>
      </c>
    </row>
    <row r="1706" spans="1:6" x14ac:dyDescent="0.25">
      <c r="A1706" t="s">
        <v>11</v>
      </c>
      <c r="B1706" s="5" t="str">
        <f>HYPERLINK("http://www.broadinstitute.org/gsea/msigdb/cards/WP_GPCRS_ODORANT.html","WP_GPCRS_ODORANT")</f>
        <v>WP_GPCRS_ODORANT</v>
      </c>
      <c r="C1706" s="4">
        <v>114</v>
      </c>
      <c r="D1706" s="3">
        <v>1.4376066000000001</v>
      </c>
      <c r="E1706" s="1">
        <v>1.8895348999999999E-2</v>
      </c>
      <c r="F1706" s="2">
        <v>9.8938659999999998E-2</v>
      </c>
    </row>
    <row r="1707" spans="1:6" x14ac:dyDescent="0.25">
      <c r="A1707" t="s">
        <v>6</v>
      </c>
      <c r="B1707" s="5" t="str">
        <f>HYPERLINK("http://www.broadinstitute.org/gsea/msigdb/cards/GOBP_GLYCOLIPID_CATABOLIC_PROCESS.html","GOBP_GLYCOLIPID_CATABOLIC_PROCESS")</f>
        <v>GOBP_GLYCOLIPID_CATABOLIC_PROCESS</v>
      </c>
      <c r="C1707" s="4">
        <v>15</v>
      </c>
      <c r="D1707" s="3">
        <v>1.4375348999999999</v>
      </c>
      <c r="E1707" s="1">
        <v>8.0733949999999999E-2</v>
      </c>
      <c r="F1707" s="2">
        <v>9.8940395E-2</v>
      </c>
    </row>
    <row r="1708" spans="1:6" x14ac:dyDescent="0.25">
      <c r="A1708" t="s">
        <v>6</v>
      </c>
      <c r="B1708" s="5" t="str">
        <f>HYPERLINK("http://www.broadinstitute.org/gsea/msigdb/cards/GOBP_PRIMARY_AMINO_COMPOUND_METABOLIC_PROCESS.html","GOBP_PRIMARY_AMINO_COMPOUND_METABOLIC_PROCESS")</f>
        <v>GOBP_PRIMARY_AMINO_COMPOUND_METABOLIC_PROCESS</v>
      </c>
      <c r="C1708" s="4">
        <v>18</v>
      </c>
      <c r="D1708" s="3">
        <v>1.4373437</v>
      </c>
      <c r="E1708" s="1">
        <v>8.1415929999999997E-2</v>
      </c>
      <c r="F1708" s="2">
        <v>9.9018839999999997E-2</v>
      </c>
    </row>
    <row r="1709" spans="1:6" x14ac:dyDescent="0.25">
      <c r="A1709" t="s">
        <v>6</v>
      </c>
      <c r="B1709" s="5" t="str">
        <f>HYPERLINK("http://www.broadinstitute.org/gsea/msigdb/cards/GOBP_REGULATION_OF_ACTIN_NUCLEATION.html","GOBP_REGULATION_OF_ACTIN_NUCLEATION")</f>
        <v>GOBP_REGULATION_OF_ACTIN_NUCLEATION</v>
      </c>
      <c r="C1709" s="4">
        <v>35</v>
      </c>
      <c r="D1709" s="3">
        <v>1.4372039999999999</v>
      </c>
      <c r="E1709" s="1">
        <v>4.7058823999999999E-2</v>
      </c>
      <c r="F1709" s="2">
        <v>9.9064910000000006E-2</v>
      </c>
    </row>
    <row r="1710" spans="1:6" x14ac:dyDescent="0.25">
      <c r="A1710" t="s">
        <v>6</v>
      </c>
      <c r="B1710" s="5" t="str">
        <f>HYPERLINK("http://www.broadinstitute.org/gsea/msigdb/cards/GOBP_AORTA_DEVELOPMENT.html","GOBP_AORTA_DEVELOPMENT")</f>
        <v>GOBP_AORTA_DEVELOPMENT</v>
      </c>
      <c r="C1710" s="4">
        <v>71</v>
      </c>
      <c r="D1710" s="3">
        <v>1.4371972</v>
      </c>
      <c r="E1710" s="1">
        <v>1.6793894E-2</v>
      </c>
      <c r="F1710" s="2">
        <v>9.9014489999999997E-2</v>
      </c>
    </row>
    <row r="1711" spans="1:6" x14ac:dyDescent="0.25">
      <c r="A1711" t="s">
        <v>6</v>
      </c>
      <c r="B1711" s="5" t="str">
        <f>HYPERLINK("http://www.broadinstitute.org/gsea/msigdb/cards/GOBP_RESPONSE_TO_TUMOR_CELL.html","GOBP_RESPONSE_TO_TUMOR_CELL")</f>
        <v>GOBP_RESPONSE_TO_TUMOR_CELL</v>
      </c>
      <c r="C1711" s="4">
        <v>41</v>
      </c>
      <c r="D1711" s="3">
        <v>1.4371320999999999</v>
      </c>
      <c r="E1711" s="1">
        <v>3.6789297999999998E-2</v>
      </c>
      <c r="F1711" s="2">
        <v>9.9008499999999999E-2</v>
      </c>
    </row>
    <row r="1712" spans="1:6" x14ac:dyDescent="0.25">
      <c r="A1712" t="s">
        <v>8</v>
      </c>
      <c r="B1712" s="5" t="str">
        <f>HYPERLINK("http://www.broadinstitute.org/gsea/msigdb/cards/GOMF_L_ASCORBIC_ACID_BINDING.html","GOMF_L_ASCORBIC_ACID_BINDING")</f>
        <v>GOMF_L_ASCORBIC_ACID_BINDING</v>
      </c>
      <c r="C1712" s="4">
        <v>19</v>
      </c>
      <c r="D1712" s="3">
        <v>1.4370129</v>
      </c>
      <c r="E1712" s="1">
        <v>6.6189624000000002E-2</v>
      </c>
      <c r="F1712" s="2">
        <v>9.9031759999999996E-2</v>
      </c>
    </row>
    <row r="1713" spans="1:6" x14ac:dyDescent="0.25">
      <c r="A1713" t="s">
        <v>6</v>
      </c>
      <c r="B1713" s="5" t="str">
        <f>HYPERLINK("http://www.broadinstitute.org/gsea/msigdb/cards/GOBP_RESPONSE_TO_SALT_STRESS.html","GOBP_RESPONSE_TO_SALT_STRESS")</f>
        <v>GOBP_RESPONSE_TO_SALT_STRESS</v>
      </c>
      <c r="C1713" s="4">
        <v>21</v>
      </c>
      <c r="D1713" s="3">
        <v>1.4370067</v>
      </c>
      <c r="E1713" s="1">
        <v>5.4145514999999998E-2</v>
      </c>
      <c r="F1713" s="2">
        <v>9.8978885000000003E-2</v>
      </c>
    </row>
    <row r="1714" spans="1:6" x14ac:dyDescent="0.25">
      <c r="A1714" t="s">
        <v>10</v>
      </c>
      <c r="B1714" s="5" t="str">
        <f>HYPERLINK("http://www.broadinstitute.org/gsea/msigdb/cards/REACTOME_INTERLEUKIN_RECEPTOR_SHC_SIGNALING.html","REACTOME_INTERLEUKIN_RECEPTOR_SHC_SIGNALING")</f>
        <v>REACTOME_INTERLEUKIN_RECEPTOR_SHC_SIGNALING</v>
      </c>
      <c r="C1714" s="4">
        <v>19</v>
      </c>
      <c r="D1714" s="3">
        <v>1.4369099999999999</v>
      </c>
      <c r="E1714" s="1">
        <v>6.3492069999999998E-2</v>
      </c>
      <c r="F1714" s="2">
        <v>9.8988789999999993E-2</v>
      </c>
    </row>
    <row r="1715" spans="1:6" x14ac:dyDescent="0.25">
      <c r="A1715" t="s">
        <v>6</v>
      </c>
      <c r="B1715" s="5" t="str">
        <f>HYPERLINK("http://www.broadinstitute.org/gsea/msigdb/cards/GOBP_POSITIVE_REGULATION_OF_VIRAL_PROCESS.html","GOBP_POSITIVE_REGULATION_OF_VIRAL_PROCESS")</f>
        <v>GOBP_POSITIVE_REGULATION_OF_VIRAL_PROCESS</v>
      </c>
      <c r="C1715" s="4">
        <v>68</v>
      </c>
      <c r="D1715" s="3">
        <v>1.4368405</v>
      </c>
      <c r="E1715" s="1">
        <v>2.3622047E-2</v>
      </c>
      <c r="F1715" s="2">
        <v>9.8984069999999993E-2</v>
      </c>
    </row>
    <row r="1716" spans="1:6" x14ac:dyDescent="0.25">
      <c r="A1716" t="s">
        <v>6</v>
      </c>
      <c r="B1716" s="5" t="str">
        <f>HYPERLINK("http://www.broadinstitute.org/gsea/msigdb/cards/GOBP_POSITIVE_REGULATION_OF_P38MAPK_CASCADE.html","GOBP_POSITIVE_REGULATION_OF_P38MAPK_CASCADE")</f>
        <v>GOBP_POSITIVE_REGULATION_OF_P38MAPK_CASCADE</v>
      </c>
      <c r="C1716" s="4">
        <v>29</v>
      </c>
      <c r="D1716" s="3">
        <v>1.4364725</v>
      </c>
      <c r="E1716" s="1">
        <v>5.2542374000000003E-2</v>
      </c>
      <c r="F1716" s="2">
        <v>9.9204435999999993E-2</v>
      </c>
    </row>
    <row r="1717" spans="1:6" x14ac:dyDescent="0.25">
      <c r="A1717" t="s">
        <v>8</v>
      </c>
      <c r="B1717" s="5" t="str">
        <f>HYPERLINK("http://www.broadinstitute.org/gsea/msigdb/cards/GOMF_PROTEIN_KINASE_C_BINDING.html","GOMF_PROTEIN_KINASE_C_BINDING")</f>
        <v>GOMF_PROTEIN_KINASE_C_BINDING</v>
      </c>
      <c r="C1717" s="4">
        <v>59</v>
      </c>
      <c r="D1717" s="3">
        <v>1.4357325000000001</v>
      </c>
      <c r="E1717" s="1">
        <v>2.9827315E-2</v>
      </c>
      <c r="F1717" s="2">
        <v>9.9697079999999993E-2</v>
      </c>
    </row>
    <row r="1718" spans="1:6" x14ac:dyDescent="0.25">
      <c r="A1718" t="s">
        <v>6</v>
      </c>
      <c r="B1718" s="5" t="str">
        <f>HYPERLINK("http://www.broadinstitute.org/gsea/msigdb/cards/GOBP_VASCULAR_ASSOCIATED_SMOOTH_MUSCLE_CELL_DIFFERENTIATION.html","GOBP_VASCULAR_ASSOCIATED_SMOOTH_MUSCLE_CELL_DIFFERENTIATION")</f>
        <v>GOBP_VASCULAR_ASSOCIATED_SMOOTH_MUSCLE_CELL_DIFFERENTIATION</v>
      </c>
      <c r="C1718" s="4">
        <v>42</v>
      </c>
      <c r="D1718" s="3">
        <v>1.4355377</v>
      </c>
      <c r="E1718" s="1">
        <v>3.9933442999999999E-2</v>
      </c>
      <c r="F1718" s="2">
        <v>9.978774E-2</v>
      </c>
    </row>
    <row r="1719" spans="1:6" x14ac:dyDescent="0.25">
      <c r="A1719" t="s">
        <v>6</v>
      </c>
      <c r="B1719" s="5" t="str">
        <f>HYPERLINK("http://www.broadinstitute.org/gsea/msigdb/cards/GOBP_POSITIVE_REGULATION_OF_SMALL_MOLECULE_METABOLIC_PROCESS.html","GOBP_POSITIVE_REGULATION_OF_SMALL_MOLECULE_METABOLIC_PROCESS")</f>
        <v>GOBP_POSITIVE_REGULATION_OF_SMALL_MOLECULE_METABOLIC_PROCESS</v>
      </c>
      <c r="C1719" s="4">
        <v>177</v>
      </c>
      <c r="D1719" s="3">
        <v>1.4338721000000001</v>
      </c>
      <c r="E1719" s="1">
        <v>1.0101010000000001E-2</v>
      </c>
      <c r="F1719" s="2">
        <v>0.10098658000000001</v>
      </c>
    </row>
    <row r="1720" spans="1:6" x14ac:dyDescent="0.25">
      <c r="A1720" t="s">
        <v>6</v>
      </c>
      <c r="B1720" s="5" t="str">
        <f>HYPERLINK("http://www.broadinstitute.org/gsea/msigdb/cards/GOBP_NEGATIVE_REGULATION_OF_GLUCOSE_IMPORT.html","GOBP_NEGATIVE_REGULATION_OF_GLUCOSE_IMPORT")</f>
        <v>GOBP_NEGATIVE_REGULATION_OF_GLUCOSE_IMPORT</v>
      </c>
      <c r="C1720" s="4">
        <v>20</v>
      </c>
      <c r="D1720" s="3">
        <v>1.4333861999999999</v>
      </c>
      <c r="E1720" s="1">
        <v>7.3426573999999994E-2</v>
      </c>
      <c r="F1720" s="2">
        <v>0.10131356</v>
      </c>
    </row>
    <row r="1721" spans="1:6" x14ac:dyDescent="0.25">
      <c r="A1721" t="s">
        <v>6</v>
      </c>
      <c r="B1721" s="5" t="str">
        <f>HYPERLINK("http://www.broadinstitute.org/gsea/msigdb/cards/GOBP_NATURAL_KILLER_CELL_CYTOKINE_PRODUCTION.html","GOBP_NATURAL_KILLER_CELL_CYTOKINE_PRODUCTION")</f>
        <v>GOBP_NATURAL_KILLER_CELL_CYTOKINE_PRODUCTION</v>
      </c>
      <c r="C1721" s="4">
        <v>21</v>
      </c>
      <c r="D1721" s="3">
        <v>1.4332422</v>
      </c>
      <c r="E1721" s="1">
        <v>7.2607264000000005E-2</v>
      </c>
      <c r="F1721" s="2">
        <v>0.101348646</v>
      </c>
    </row>
    <row r="1722" spans="1:6" x14ac:dyDescent="0.25">
      <c r="A1722" t="s">
        <v>6</v>
      </c>
      <c r="B1722" s="5" t="str">
        <f>HYPERLINK("http://www.broadinstitute.org/gsea/msigdb/cards/GOBP_NEGATIVE_REGULATION_OF_BLOOD_CIRCULATION.html","GOBP_NEGATIVE_REGULATION_OF_BLOOD_CIRCULATION")</f>
        <v>GOBP_NEGATIVE_REGULATION_OF_BLOOD_CIRCULATION</v>
      </c>
      <c r="C1722" s="4">
        <v>28</v>
      </c>
      <c r="D1722" s="3">
        <v>1.4329229999999999</v>
      </c>
      <c r="E1722" s="1">
        <v>5.0167225000000003E-2</v>
      </c>
      <c r="F1722" s="2">
        <v>0.10151328</v>
      </c>
    </row>
    <row r="1723" spans="1:6" x14ac:dyDescent="0.25">
      <c r="A1723" t="s">
        <v>6</v>
      </c>
      <c r="B1723" s="5" t="str">
        <f>HYPERLINK("http://www.broadinstitute.org/gsea/msigdb/cards/GOBP_POSITIVE_REGULATION_OF_PROTEIN_BINDING.html","GOBP_POSITIVE_REGULATION_OF_PROTEIN_BINDING")</f>
        <v>GOBP_POSITIVE_REGULATION_OF_PROTEIN_BINDING</v>
      </c>
      <c r="C1723" s="4">
        <v>102</v>
      </c>
      <c r="D1723" s="3">
        <v>1.4328432</v>
      </c>
      <c r="E1723" s="1">
        <v>1.2784090999999999E-2</v>
      </c>
      <c r="F1723" s="2">
        <v>0.101501435</v>
      </c>
    </row>
    <row r="1724" spans="1:6" x14ac:dyDescent="0.25">
      <c r="A1724" t="s">
        <v>6</v>
      </c>
      <c r="B1724" s="5" t="str">
        <f>HYPERLINK("http://www.broadinstitute.org/gsea/msigdb/cards/GOBP_REGULATION_OF_NUCLEASE_ACTIVITY.html","GOBP_REGULATION_OF_NUCLEASE_ACTIVITY")</f>
        <v>GOBP_REGULATION_OF_NUCLEASE_ACTIVITY</v>
      </c>
      <c r="C1724" s="4">
        <v>27</v>
      </c>
      <c r="D1724" s="3">
        <v>1.4326977000000001</v>
      </c>
      <c r="E1724" s="1">
        <v>4.0885862000000002E-2</v>
      </c>
      <c r="F1724" s="2">
        <v>0.10153564</v>
      </c>
    </row>
    <row r="1725" spans="1:6" x14ac:dyDescent="0.25">
      <c r="A1725" t="s">
        <v>6</v>
      </c>
      <c r="B1725" s="5" t="str">
        <f>HYPERLINK("http://www.broadinstitute.org/gsea/msigdb/cards/GOBP_POSITIVE_REGULATION_OF_SECRETION.html","GOBP_POSITIVE_REGULATION_OF_SECRETION")</f>
        <v>GOBP_POSITIVE_REGULATION_OF_SECRETION</v>
      </c>
      <c r="C1725" s="4">
        <v>395</v>
      </c>
      <c r="D1725" s="3">
        <v>1.4325414000000001</v>
      </c>
      <c r="E1725" s="1">
        <v>0</v>
      </c>
      <c r="F1725" s="2">
        <v>0.10159107000000001</v>
      </c>
    </row>
    <row r="1726" spans="1:6" x14ac:dyDescent="0.25">
      <c r="A1726" t="s">
        <v>10</v>
      </c>
      <c r="B1726" s="5" t="str">
        <f>HYPERLINK("http://www.broadinstitute.org/gsea/msigdb/cards/REACTOME_GLUCAGON_TYPE_LIGAND_RECEPTORS.html","REACTOME_GLUCAGON_TYPE_LIGAND_RECEPTORS")</f>
        <v>REACTOME_GLUCAGON_TYPE_LIGAND_RECEPTORS</v>
      </c>
      <c r="C1726" s="4">
        <v>30</v>
      </c>
      <c r="D1726" s="3">
        <v>1.4325201999999999</v>
      </c>
      <c r="E1726" s="1">
        <v>6.6129030000000005E-2</v>
      </c>
      <c r="F1726" s="2">
        <v>0.10154845999999999</v>
      </c>
    </row>
    <row r="1727" spans="1:6" x14ac:dyDescent="0.25">
      <c r="A1727" t="s">
        <v>10</v>
      </c>
      <c r="B1727" s="5" t="str">
        <f>HYPERLINK("http://www.broadinstitute.org/gsea/msigdb/cards/REACTOME_G_ALPHA_12_13_SIGNALLING_EVENTS.html","REACTOME_G_ALPHA_12_13_SIGNALLING_EVENTS")</f>
        <v>REACTOME_G_ALPHA_12_13_SIGNALLING_EVENTS</v>
      </c>
      <c r="C1727" s="4">
        <v>75</v>
      </c>
      <c r="D1727" s="3">
        <v>1.4320900000000001</v>
      </c>
      <c r="E1727" s="1">
        <v>2.5039123E-2</v>
      </c>
      <c r="F1727" s="2">
        <v>0.10180649</v>
      </c>
    </row>
    <row r="1728" spans="1:6" x14ac:dyDescent="0.25">
      <c r="A1728" t="s">
        <v>6</v>
      </c>
      <c r="B1728" s="5" t="str">
        <f>HYPERLINK("http://www.broadinstitute.org/gsea/msigdb/cards/GOBP_DIGESTION.html","GOBP_DIGESTION")</f>
        <v>GOBP_DIGESTION</v>
      </c>
      <c r="C1728" s="4">
        <v>119</v>
      </c>
      <c r="D1728" s="3">
        <v>1.432026</v>
      </c>
      <c r="E1728" s="1">
        <v>1.1922504E-2</v>
      </c>
      <c r="F1728" s="2">
        <v>0.10180902</v>
      </c>
    </row>
    <row r="1729" spans="1:6" x14ac:dyDescent="0.25">
      <c r="A1729" t="s">
        <v>6</v>
      </c>
      <c r="B1729" s="5" t="str">
        <f>HYPERLINK("http://www.broadinstitute.org/gsea/msigdb/cards/GOBP_REGULATION_OF_EPITHELIAL_TO_MESENCHYMAL_TRANSITION.html","GOBP_REGULATION_OF_EPITHELIAL_TO_MESENCHYMAL_TRANSITION")</f>
        <v>GOBP_REGULATION_OF_EPITHELIAL_TO_MESENCHYMAL_TRANSITION</v>
      </c>
      <c r="C1729" s="4">
        <v>102</v>
      </c>
      <c r="D1729" s="3">
        <v>1.4317508999999999</v>
      </c>
      <c r="E1729" s="1">
        <v>1.3761468000000001E-2</v>
      </c>
      <c r="F1729" s="2">
        <v>0.10198159499999999</v>
      </c>
    </row>
    <row r="1730" spans="1:6" x14ac:dyDescent="0.25">
      <c r="A1730" t="s">
        <v>6</v>
      </c>
      <c r="B1730" s="5" t="str">
        <f>HYPERLINK("http://www.broadinstitute.org/gsea/msigdb/cards/GOBP_NEGATIVE_REGULATION_OF_CELL_SUBSTRATE_ADHESION.html","GOBP_NEGATIVE_REGULATION_OF_CELL_SUBSTRATE_ADHESION")</f>
        <v>GOBP_NEGATIVE_REGULATION_OF_CELL_SUBSTRATE_ADHESION</v>
      </c>
      <c r="C1730" s="4">
        <v>61</v>
      </c>
      <c r="D1730" s="3">
        <v>1.4316507999999999</v>
      </c>
      <c r="E1730" s="1">
        <v>3.0944625E-2</v>
      </c>
      <c r="F1730" s="2">
        <v>0.10200664</v>
      </c>
    </row>
    <row r="1731" spans="1:6" x14ac:dyDescent="0.25">
      <c r="A1731" t="s">
        <v>6</v>
      </c>
      <c r="B1731" s="5" t="str">
        <f>HYPERLINK("http://www.broadinstitute.org/gsea/msigdb/cards/GOBP_EPITHELIAL_CELL_DEVELOPMENT.html","GOBP_EPITHELIAL_CELL_DEVELOPMENT")</f>
        <v>GOBP_EPITHELIAL_CELL_DEVELOPMENT</v>
      </c>
      <c r="C1731" s="4">
        <v>227</v>
      </c>
      <c r="D1731" s="3">
        <v>1.4314720999999999</v>
      </c>
      <c r="E1731" s="1">
        <v>1.3262599000000001E-3</v>
      </c>
      <c r="F1731" s="2">
        <v>0.10207105399999999</v>
      </c>
    </row>
    <row r="1732" spans="1:6" x14ac:dyDescent="0.25">
      <c r="A1732" t="s">
        <v>7</v>
      </c>
      <c r="B1732" s="5" t="str">
        <f>HYPERLINK("http://www.broadinstitute.org/gsea/msigdb/cards/GOCC_ENDOPLASMIC_RETICULUM_PROTEIN_CONTAINING_COMPLEX.html","GOCC_ENDOPLASMIC_RETICULUM_PROTEIN_CONTAINING_COMPLEX")</f>
        <v>GOCC_ENDOPLASMIC_RETICULUM_PROTEIN_CONTAINING_COMPLEX</v>
      </c>
      <c r="C1732" s="4">
        <v>130</v>
      </c>
      <c r="D1732" s="3">
        <v>1.4312750999999999</v>
      </c>
      <c r="E1732" s="1">
        <v>8.9285719999999992E-3</v>
      </c>
      <c r="F1732" s="2">
        <v>0.10216615</v>
      </c>
    </row>
    <row r="1733" spans="1:6" x14ac:dyDescent="0.25">
      <c r="A1733" t="s">
        <v>6</v>
      </c>
      <c r="B1733" s="5" t="str">
        <f>HYPERLINK("http://www.broadinstitute.org/gsea/msigdb/cards/GOBP_NEGATIVE_REGULATION_OF_MAPK_CASCADE.html","GOBP_NEGATIVE_REGULATION_OF_MAPK_CASCADE")</f>
        <v>GOBP_NEGATIVE_REGULATION_OF_MAPK_CASCADE</v>
      </c>
      <c r="C1733" s="4">
        <v>182</v>
      </c>
      <c r="D1733" s="3">
        <v>1.4308487999999999</v>
      </c>
      <c r="E1733" s="1">
        <v>8.4626240000000002E-3</v>
      </c>
      <c r="F1733" s="2">
        <v>0.10242255</v>
      </c>
    </row>
    <row r="1734" spans="1:6" x14ac:dyDescent="0.25">
      <c r="A1734" t="s">
        <v>6</v>
      </c>
      <c r="B1734" s="5" t="str">
        <f>HYPERLINK("http://www.broadinstitute.org/gsea/msigdb/cards/GOBP_OLIGOSACCHARIDE_CATABOLIC_PROCESS.html","GOBP_OLIGOSACCHARIDE_CATABOLIC_PROCESS")</f>
        <v>GOBP_OLIGOSACCHARIDE_CATABOLIC_PROCESS</v>
      </c>
      <c r="C1734" s="4">
        <v>15</v>
      </c>
      <c r="D1734" s="3">
        <v>1.4303693</v>
      </c>
      <c r="E1734" s="1">
        <v>7.8464106000000006E-2</v>
      </c>
      <c r="F1734" s="2">
        <v>0.10270979</v>
      </c>
    </row>
    <row r="1735" spans="1:6" x14ac:dyDescent="0.25">
      <c r="A1735" t="s">
        <v>6</v>
      </c>
      <c r="B1735" s="5" t="str">
        <f>HYPERLINK("http://www.broadinstitute.org/gsea/msigdb/cards/GOBP_REGULATION_OF_AMYLOID_PRECURSOR_PROTEIN_CATABOLIC_PROCESS.html","GOBP_REGULATION_OF_AMYLOID_PRECURSOR_PROTEIN_CATABOLIC_PROCESS")</f>
        <v>GOBP_REGULATION_OF_AMYLOID_PRECURSOR_PROTEIN_CATABOLIC_PROCESS</v>
      </c>
      <c r="C1735" s="4">
        <v>45</v>
      </c>
      <c r="D1735" s="3">
        <v>1.430361</v>
      </c>
      <c r="E1735" s="1">
        <v>3.125E-2</v>
      </c>
      <c r="F1735" s="2">
        <v>0.10265800999999999</v>
      </c>
    </row>
    <row r="1736" spans="1:6" x14ac:dyDescent="0.25">
      <c r="A1736" t="s">
        <v>6</v>
      </c>
      <c r="B1736" s="5" t="str">
        <f>HYPERLINK("http://www.broadinstitute.org/gsea/msigdb/cards/GOBP_NEGATIVE_REGULATION_OF_PROTEIN_POLYMERIZATION.html","GOBP_NEGATIVE_REGULATION_OF_PROTEIN_POLYMERIZATION")</f>
        <v>GOBP_NEGATIVE_REGULATION_OF_PROTEIN_POLYMERIZATION</v>
      </c>
      <c r="C1736" s="4">
        <v>84</v>
      </c>
      <c r="D1736" s="3">
        <v>1.4303482000000001</v>
      </c>
      <c r="E1736" s="1">
        <v>2.6033690000000002E-2</v>
      </c>
      <c r="F1736" s="2">
        <v>0.10260873</v>
      </c>
    </row>
    <row r="1737" spans="1:6" x14ac:dyDescent="0.25">
      <c r="A1737" t="s">
        <v>10</v>
      </c>
      <c r="B1737" s="5" t="str">
        <f>HYPERLINK("http://www.broadinstitute.org/gsea/msigdb/cards/REACTOME_RHOA_GTPASE_CYCLE.html","REACTOME_RHOA_GTPASE_CYCLE")</f>
        <v>REACTOME_RHOA_GTPASE_CYCLE</v>
      </c>
      <c r="C1737" s="4">
        <v>140</v>
      </c>
      <c r="D1737" s="3">
        <v>1.4297527999999999</v>
      </c>
      <c r="E1737" s="1">
        <v>1.4903130000000001E-2</v>
      </c>
      <c r="F1737" s="2">
        <v>0.102971375</v>
      </c>
    </row>
    <row r="1738" spans="1:6" x14ac:dyDescent="0.25">
      <c r="A1738" t="s">
        <v>6</v>
      </c>
      <c r="B1738" s="5" t="str">
        <f>HYPERLINK("http://www.broadinstitute.org/gsea/msigdb/cards/GOBP_POSITIVE_REGULATION_OF_NON_CANONICAL_NF_KAPPAB_SIGNAL_TRANSDUCTION.html","GOBP_POSITIVE_REGULATION_OF_NON_CANONICAL_NF_KAPPAB_SIGNAL_TRANSDUCTION")</f>
        <v>GOBP_POSITIVE_REGULATION_OF_NON_CANONICAL_NF_KAPPAB_SIGNAL_TRANSDUCTION</v>
      </c>
      <c r="C1738" s="4">
        <v>69</v>
      </c>
      <c r="D1738" s="3">
        <v>1.4296972999999999</v>
      </c>
      <c r="E1738" s="1">
        <v>2.5000000000000001E-2</v>
      </c>
      <c r="F1738" s="2">
        <v>0.10295831</v>
      </c>
    </row>
    <row r="1739" spans="1:6" x14ac:dyDescent="0.25">
      <c r="A1739" t="s">
        <v>5</v>
      </c>
      <c r="B1739" s="5" t="str">
        <f>HYPERLINK("http://www.broadinstitute.org/gsea/msigdb/cards/BIOCARTA_EPO_PATHWAY.html","BIOCARTA_EPO_PATHWAY")</f>
        <v>BIOCARTA_EPO_PATHWAY</v>
      </c>
      <c r="C1739" s="4">
        <v>19</v>
      </c>
      <c r="D1739" s="3">
        <v>1.4296759999999999</v>
      </c>
      <c r="E1739" s="1">
        <v>7.3043479999999994E-2</v>
      </c>
      <c r="F1739" s="2">
        <v>0.1029159</v>
      </c>
    </row>
    <row r="1740" spans="1:6" x14ac:dyDescent="0.25">
      <c r="A1740" t="s">
        <v>6</v>
      </c>
      <c r="B1740" s="5" t="str">
        <f>HYPERLINK("http://www.broadinstitute.org/gsea/msigdb/cards/GOBP_BIOMINERAL_TISSUE_DEVELOPMENT.html","GOBP_BIOMINERAL_TISSUE_DEVELOPMENT")</f>
        <v>GOBP_BIOMINERAL_TISSUE_DEVELOPMENT</v>
      </c>
      <c r="C1740" s="4">
        <v>176</v>
      </c>
      <c r="D1740" s="3">
        <v>1.4290524</v>
      </c>
      <c r="E1740" s="1">
        <v>7.3637700000000004E-3</v>
      </c>
      <c r="F1740" s="2">
        <v>0.10333614000000001</v>
      </c>
    </row>
    <row r="1741" spans="1:6" x14ac:dyDescent="0.25">
      <c r="A1741" t="s">
        <v>6</v>
      </c>
      <c r="B1741" s="5" t="str">
        <f>HYPERLINK("http://www.broadinstitute.org/gsea/msigdb/cards/GOBP_REGULATION_OF_BONE_MINERALIZATION.html","GOBP_REGULATION_OF_BONE_MINERALIZATION")</f>
        <v>GOBP_REGULATION_OF_BONE_MINERALIZATION</v>
      </c>
      <c r="C1741" s="4">
        <v>86</v>
      </c>
      <c r="D1741" s="3">
        <v>1.4287106000000001</v>
      </c>
      <c r="E1741" s="1">
        <v>1.8897638000000001E-2</v>
      </c>
      <c r="F1741" s="2">
        <v>0.10353399000000001</v>
      </c>
    </row>
    <row r="1742" spans="1:6" x14ac:dyDescent="0.25">
      <c r="A1742" t="s">
        <v>6</v>
      </c>
      <c r="B1742" s="5" t="str">
        <f>HYPERLINK("http://www.broadinstitute.org/gsea/msigdb/cards/GOBP_PROTEIN_EXIT_FROM_ENDOPLASMIC_RETICULUM.html","GOBP_PROTEIN_EXIT_FROM_ENDOPLASMIC_RETICULUM")</f>
        <v>GOBP_PROTEIN_EXIT_FROM_ENDOPLASMIC_RETICULUM</v>
      </c>
      <c r="C1742" s="4">
        <v>41</v>
      </c>
      <c r="D1742" s="3">
        <v>1.4280701</v>
      </c>
      <c r="E1742" s="1">
        <v>4.2654030000000002E-2</v>
      </c>
      <c r="F1742" s="2">
        <v>0.10395719</v>
      </c>
    </row>
    <row r="1743" spans="1:6" x14ac:dyDescent="0.25">
      <c r="A1743" t="s">
        <v>6</v>
      </c>
      <c r="B1743" s="5" t="str">
        <f>HYPERLINK("http://www.broadinstitute.org/gsea/msigdb/cards/GOBP_NEGATIVE_REGULATION_OF_CARDIAC_MUSCLE_CELL_PROLIFERATION.html","GOBP_NEGATIVE_REGULATION_OF_CARDIAC_MUSCLE_CELL_PROLIFERATION")</f>
        <v>GOBP_NEGATIVE_REGULATION_OF_CARDIAC_MUSCLE_CELL_PROLIFERATION</v>
      </c>
      <c r="C1743" s="4">
        <v>16</v>
      </c>
      <c r="D1743" s="3">
        <v>1.4276221</v>
      </c>
      <c r="E1743" s="1">
        <v>6.1962135000000002E-2</v>
      </c>
      <c r="F1743" s="2">
        <v>0.10420562</v>
      </c>
    </row>
    <row r="1744" spans="1:6" x14ac:dyDescent="0.25">
      <c r="A1744" t="s">
        <v>5</v>
      </c>
      <c r="B1744" s="5" t="str">
        <f>HYPERLINK("http://www.broadinstitute.org/gsea/msigdb/cards/BIOCARTA_BCELLSURVIVAL_PATHWAY.html","BIOCARTA_BCELLSURVIVAL_PATHWAY")</f>
        <v>BIOCARTA_BCELLSURVIVAL_PATHWAY</v>
      </c>
      <c r="C1744" s="4">
        <v>16</v>
      </c>
      <c r="D1744" s="3">
        <v>1.4269565</v>
      </c>
      <c r="E1744" s="1">
        <v>8.2746475999999999E-2</v>
      </c>
      <c r="F1744" s="2">
        <v>0.104686126</v>
      </c>
    </row>
    <row r="1745" spans="1:6" x14ac:dyDescent="0.25">
      <c r="A1745" t="s">
        <v>10</v>
      </c>
      <c r="B1745" s="5" t="str">
        <f>HYPERLINK("http://www.broadinstitute.org/gsea/msigdb/cards/REACTOME_ASPARAGINE_N_LINKED_GLYCOSYLATION.html","REACTOME_ASPARAGINE_N_LINKED_GLYCOSYLATION")</f>
        <v>REACTOME_ASPARAGINE_N_LINKED_GLYCOSYLATION</v>
      </c>
      <c r="C1745" s="4">
        <v>257</v>
      </c>
      <c r="D1745" s="3">
        <v>1.4261736</v>
      </c>
      <c r="E1745" s="1">
        <v>4.0540539999999996E-3</v>
      </c>
      <c r="F1745" s="2">
        <v>0.10521728</v>
      </c>
    </row>
    <row r="1746" spans="1:6" x14ac:dyDescent="0.25">
      <c r="A1746" t="s">
        <v>6</v>
      </c>
      <c r="B1746" s="5" t="str">
        <f>HYPERLINK("http://www.broadinstitute.org/gsea/msigdb/cards/GOBP_CALCIUM_DEPENDENT_CELL_CELL_ADHESION_VIA_PLASMA_MEMBRANE_CELL_ADHESION_MOLECULES.html","GOBP_CALCIUM_DEPENDENT_CELL_CELL_ADHESION_VIA_PLASMA_MEMBRANE_CELL_ADHESION_MOLECULES")</f>
        <v>GOBP_CALCIUM_DEPENDENT_CELL_CELL_ADHESION_VIA_PLASMA_MEMBRANE_CELL_ADHESION_MOLECULES</v>
      </c>
      <c r="C1746" s="4">
        <v>38</v>
      </c>
      <c r="D1746" s="3">
        <v>1.4260402999999999</v>
      </c>
      <c r="E1746" s="1">
        <v>5.4927299999999998E-2</v>
      </c>
      <c r="F1746" s="2">
        <v>0.105253845</v>
      </c>
    </row>
    <row r="1747" spans="1:6" x14ac:dyDescent="0.25">
      <c r="A1747" t="s">
        <v>8</v>
      </c>
      <c r="B1747" s="5" t="str">
        <f>HYPERLINK("http://www.broadinstitute.org/gsea/msigdb/cards/GOMF_TRANSFORMING_GROWTH_FACTOR_BETA_BINDING.html","GOMF_TRANSFORMING_GROWTH_FACTOR_BETA_BINDING")</f>
        <v>GOMF_TRANSFORMING_GROWTH_FACTOR_BETA_BINDING</v>
      </c>
      <c r="C1747" s="4">
        <v>25</v>
      </c>
      <c r="D1747" s="3">
        <v>1.4259573999999999</v>
      </c>
      <c r="E1747" s="1">
        <v>6.4516130000000005E-2</v>
      </c>
      <c r="F1747" s="2">
        <v>0.105248116</v>
      </c>
    </row>
    <row r="1748" spans="1:6" x14ac:dyDescent="0.25">
      <c r="A1748" t="s">
        <v>5</v>
      </c>
      <c r="B1748" s="5" t="str">
        <f>HYPERLINK("http://www.broadinstitute.org/gsea/msigdb/cards/BIOCARTA_TPO_PATHWAY.html","BIOCARTA_TPO_PATHWAY")</f>
        <v>BIOCARTA_TPO_PATHWAY</v>
      </c>
      <c r="C1748" s="4">
        <v>25</v>
      </c>
      <c r="D1748" s="3">
        <v>1.4258415</v>
      </c>
      <c r="E1748" s="1">
        <v>7.9866885999999998E-2</v>
      </c>
      <c r="F1748" s="2">
        <v>0.10527534</v>
      </c>
    </row>
    <row r="1749" spans="1:6" x14ac:dyDescent="0.25">
      <c r="A1749" t="s">
        <v>6</v>
      </c>
      <c r="B1749" s="5" t="str">
        <f>HYPERLINK("http://www.broadinstitute.org/gsea/msigdb/cards/GOBP_REGULATION_OF_TOLL_LIKE_RECEPTOR_4_SIGNALING_PATHWAY.html","GOBP_REGULATION_OF_TOLL_LIKE_RECEPTOR_4_SIGNALING_PATHWAY")</f>
        <v>GOBP_REGULATION_OF_TOLL_LIKE_RECEPTOR_4_SIGNALING_PATHWAY</v>
      </c>
      <c r="C1749" s="4">
        <v>26</v>
      </c>
      <c r="D1749" s="3">
        <v>1.4256994999999999</v>
      </c>
      <c r="E1749" s="1">
        <v>6.0402683999999998E-2</v>
      </c>
      <c r="F1749" s="2">
        <v>0.10532853</v>
      </c>
    </row>
    <row r="1750" spans="1:6" x14ac:dyDescent="0.25">
      <c r="A1750" t="s">
        <v>10</v>
      </c>
      <c r="B1750" s="5" t="str">
        <f>HYPERLINK("http://www.broadinstitute.org/gsea/msigdb/cards/REACTOME_INACTIVATION_OF_CSF3_G_CSF_SIGNALING.html","REACTOME_INACTIVATION_OF_CSF3_G_CSF_SIGNALING")</f>
        <v>REACTOME_INACTIVATION_OF_CSF3_G_CSF_SIGNALING</v>
      </c>
      <c r="C1750" s="4">
        <v>18</v>
      </c>
      <c r="D1750" s="3">
        <v>1.4252294000000001</v>
      </c>
      <c r="E1750" s="1">
        <v>7.3298429999999998E-2</v>
      </c>
      <c r="F1750" s="2">
        <v>0.10561949</v>
      </c>
    </row>
    <row r="1751" spans="1:6" x14ac:dyDescent="0.25">
      <c r="A1751" t="s">
        <v>6</v>
      </c>
      <c r="B1751" s="5" t="str">
        <f>HYPERLINK("http://www.broadinstitute.org/gsea/msigdb/cards/GOBP_VESICLE_LOCALIZATION.html","GOBP_VESICLE_LOCALIZATION")</f>
        <v>GOBP_VESICLE_LOCALIZATION</v>
      </c>
      <c r="C1751" s="4">
        <v>211</v>
      </c>
      <c r="D1751" s="3">
        <v>1.4252024999999999</v>
      </c>
      <c r="E1751" s="1">
        <v>4.1436464999999997E-3</v>
      </c>
      <c r="F1751" s="2">
        <v>0.10558018</v>
      </c>
    </row>
    <row r="1752" spans="1:6" x14ac:dyDescent="0.25">
      <c r="A1752" t="s">
        <v>6</v>
      </c>
      <c r="B1752" s="5" t="str">
        <f>HYPERLINK("http://www.broadinstitute.org/gsea/msigdb/cards/GOBP_REGULATION_OF_TYPE_I_INTERFERON_MEDIATED_SIGNALING_PATHWAY.html","GOBP_REGULATION_OF_TYPE_I_INTERFERON_MEDIATED_SIGNALING_PATHWAY")</f>
        <v>GOBP_REGULATION_OF_TYPE_I_INTERFERON_MEDIATED_SIGNALING_PATHWAY</v>
      </c>
      <c r="C1752" s="4">
        <v>45</v>
      </c>
      <c r="D1752" s="3">
        <v>1.425036</v>
      </c>
      <c r="E1752" s="1">
        <v>4.5901638000000002E-2</v>
      </c>
      <c r="F1752" s="2">
        <v>0.10564512</v>
      </c>
    </row>
    <row r="1753" spans="1:6" x14ac:dyDescent="0.25">
      <c r="A1753" t="s">
        <v>6</v>
      </c>
      <c r="B1753" s="5" t="str">
        <f>HYPERLINK("http://www.broadinstitute.org/gsea/msigdb/cards/GOBP_ANAGEN.html","GOBP_ANAGEN")</f>
        <v>GOBP_ANAGEN</v>
      </c>
      <c r="C1753" s="4">
        <v>16</v>
      </c>
      <c r="D1753" s="3">
        <v>1.4247527</v>
      </c>
      <c r="E1753" s="1">
        <v>6.9324090000000005E-2</v>
      </c>
      <c r="F1753" s="2">
        <v>0.10578231</v>
      </c>
    </row>
    <row r="1754" spans="1:6" x14ac:dyDescent="0.25">
      <c r="A1754" t="s">
        <v>8</v>
      </c>
      <c r="B1754" s="5" t="str">
        <f>HYPERLINK("http://www.broadinstitute.org/gsea/msigdb/cards/GOMF_LOW_DENSITY_LIPOPROTEIN_PARTICLE_BINDING.html","GOMF_LOW_DENSITY_LIPOPROTEIN_PARTICLE_BINDING")</f>
        <v>GOMF_LOW_DENSITY_LIPOPROTEIN_PARTICLE_BINDING</v>
      </c>
      <c r="C1754" s="4">
        <v>18</v>
      </c>
      <c r="D1754" s="3">
        <v>1.4247316000000001</v>
      </c>
      <c r="E1754" s="1">
        <v>8.6655109999999994E-2</v>
      </c>
      <c r="F1754" s="2">
        <v>0.10573799</v>
      </c>
    </row>
    <row r="1755" spans="1:6" x14ac:dyDescent="0.25">
      <c r="A1755" t="s">
        <v>6</v>
      </c>
      <c r="B1755" s="5" t="str">
        <f>HYPERLINK("http://www.broadinstitute.org/gsea/msigdb/cards/GOBP_ACTIN_FILAMENT_BUNDLE_ORGANIZATION.html","GOBP_ACTIN_FILAMENT_BUNDLE_ORGANIZATION")</f>
        <v>GOBP_ACTIN_FILAMENT_BUNDLE_ORGANIZATION</v>
      </c>
      <c r="C1755" s="4">
        <v>178</v>
      </c>
      <c r="D1755" s="3">
        <v>1.4244158</v>
      </c>
      <c r="E1755" s="1">
        <v>1.0294118E-2</v>
      </c>
      <c r="F1755" s="2">
        <v>0.10590504000000001</v>
      </c>
    </row>
    <row r="1756" spans="1:6" x14ac:dyDescent="0.25">
      <c r="A1756" t="s">
        <v>6</v>
      </c>
      <c r="B1756" s="5" t="str">
        <f>HYPERLINK("http://www.broadinstitute.org/gsea/msigdb/cards/GOBP_NEGATIVE_REGULATION_OF_ACTIN_FILAMENT_POLYMERIZATION.html","GOBP_NEGATIVE_REGULATION_OF_ACTIN_FILAMENT_POLYMERIZATION")</f>
        <v>GOBP_NEGATIVE_REGULATION_OF_ACTIN_FILAMENT_POLYMERIZATION</v>
      </c>
      <c r="C1756" s="4">
        <v>68</v>
      </c>
      <c r="D1756" s="3">
        <v>1.4239792</v>
      </c>
      <c r="E1756" s="1">
        <v>3.2915359999999998E-2</v>
      </c>
      <c r="F1756" s="2">
        <v>0.106186606</v>
      </c>
    </row>
    <row r="1757" spans="1:6" x14ac:dyDescent="0.25">
      <c r="A1757" t="s">
        <v>6</v>
      </c>
      <c r="B1757" s="5" t="str">
        <f>HYPERLINK("http://www.broadinstitute.org/gsea/msigdb/cards/GOBP_MYELOID_CELL_HOMEOSTASIS.html","GOBP_MYELOID_CELL_HOMEOSTASIS")</f>
        <v>GOBP_MYELOID_CELL_HOMEOSTASIS</v>
      </c>
      <c r="C1757" s="4">
        <v>205</v>
      </c>
      <c r="D1757" s="3">
        <v>1.4238778000000001</v>
      </c>
      <c r="E1757" s="1">
        <v>5.7471264000000001E-3</v>
      </c>
      <c r="F1757" s="2">
        <v>0.10620886</v>
      </c>
    </row>
    <row r="1758" spans="1:6" x14ac:dyDescent="0.25">
      <c r="A1758" t="s">
        <v>11</v>
      </c>
      <c r="B1758" s="5" t="str">
        <f>HYPERLINK("http://www.broadinstitute.org/gsea/msigdb/cards/WP_IL_7_SIGNALING_PATHWAY.html","WP_IL_7_SIGNALING_PATHWAY")</f>
        <v>WP_IL_7_SIGNALING_PATHWAY</v>
      </c>
      <c r="C1758" s="4">
        <v>43</v>
      </c>
      <c r="D1758" s="3">
        <v>1.4234374999999999</v>
      </c>
      <c r="E1758" s="1">
        <v>5.4054054999999997E-2</v>
      </c>
      <c r="F1758" s="2">
        <v>0.10650416</v>
      </c>
    </row>
    <row r="1759" spans="1:6" x14ac:dyDescent="0.25">
      <c r="A1759" t="s">
        <v>6</v>
      </c>
      <c r="B1759" s="5" t="str">
        <f>HYPERLINK("http://www.broadinstitute.org/gsea/msigdb/cards/GOBP_REGULATION_OF_PLASMINOGEN_ACTIVATION.html","GOBP_REGULATION_OF_PLASMINOGEN_ACTIVATION")</f>
        <v>GOBP_REGULATION_OF_PLASMINOGEN_ACTIVATION</v>
      </c>
      <c r="C1759" s="4">
        <v>17</v>
      </c>
      <c r="D1759" s="3">
        <v>1.4233966</v>
      </c>
      <c r="E1759" s="1">
        <v>7.3873880000000003E-2</v>
      </c>
      <c r="F1759" s="2">
        <v>0.106479935</v>
      </c>
    </row>
    <row r="1760" spans="1:6" x14ac:dyDescent="0.25">
      <c r="A1760" t="s">
        <v>6</v>
      </c>
      <c r="B1760" s="5" t="str">
        <f>HYPERLINK("http://www.broadinstitute.org/gsea/msigdb/cards/GOBP_NEGATIVE_REGULATION_OF_MYELOID_CELL_APOPTOTIC_PROCESS.html","GOBP_NEGATIVE_REGULATION_OF_MYELOID_CELL_APOPTOTIC_PROCESS")</f>
        <v>GOBP_NEGATIVE_REGULATION_OF_MYELOID_CELL_APOPTOTIC_PROCESS</v>
      </c>
      <c r="C1760" s="4">
        <v>22</v>
      </c>
      <c r="D1760" s="3">
        <v>1.4231567000000001</v>
      </c>
      <c r="E1760" s="1">
        <v>6.3903280000000007E-2</v>
      </c>
      <c r="F1760" s="2">
        <v>0.10659948</v>
      </c>
    </row>
    <row r="1761" spans="1:6" x14ac:dyDescent="0.25">
      <c r="A1761" t="s">
        <v>6</v>
      </c>
      <c r="B1761" s="5" t="str">
        <f>HYPERLINK("http://www.broadinstitute.org/gsea/msigdb/cards/GOBP_POSITIVE_REGULATION_OF_FATTY_ACID_TRANSPORT.html","GOBP_POSITIVE_REGULATION_OF_FATTY_ACID_TRANSPORT")</f>
        <v>GOBP_POSITIVE_REGULATION_OF_FATTY_ACID_TRANSPORT</v>
      </c>
      <c r="C1761" s="4">
        <v>26</v>
      </c>
      <c r="D1761" s="3">
        <v>1.4230461000000001</v>
      </c>
      <c r="E1761" s="1">
        <v>5.8430716000000001E-2</v>
      </c>
      <c r="F1761" s="2">
        <v>0.10662879</v>
      </c>
    </row>
    <row r="1762" spans="1:6" x14ac:dyDescent="0.25">
      <c r="A1762" t="s">
        <v>6</v>
      </c>
      <c r="B1762" s="5" t="str">
        <f>HYPERLINK("http://www.broadinstitute.org/gsea/msigdb/cards/GOBP_MITOCHONDRIAL_DEPOLARIZATION.html","GOBP_MITOCHONDRIAL_DEPOLARIZATION")</f>
        <v>GOBP_MITOCHONDRIAL_DEPOLARIZATION</v>
      </c>
      <c r="C1762" s="4">
        <v>28</v>
      </c>
      <c r="D1762" s="3">
        <v>1.4223623999999999</v>
      </c>
      <c r="E1762" s="1">
        <v>5.5743243999999997E-2</v>
      </c>
      <c r="F1762" s="2">
        <v>0.10711835</v>
      </c>
    </row>
    <row r="1763" spans="1:6" x14ac:dyDescent="0.25">
      <c r="A1763" t="s">
        <v>6</v>
      </c>
      <c r="B1763" s="5" t="str">
        <f>HYPERLINK("http://www.broadinstitute.org/gsea/msigdb/cards/GOBP_POSITIVE_REGULATION_OF_VASCULAR_ASSOCIATED_SMOOTH_MUSCLE_CELL_MIGRATION.html","GOBP_POSITIVE_REGULATION_OF_VASCULAR_ASSOCIATED_SMOOTH_MUSCLE_CELL_MIGRATION")</f>
        <v>GOBP_POSITIVE_REGULATION_OF_VASCULAR_ASSOCIATED_SMOOTH_MUSCLE_CELL_MIGRATION</v>
      </c>
      <c r="C1763" s="4">
        <v>21</v>
      </c>
      <c r="D1763" s="3">
        <v>1.4217831999999999</v>
      </c>
      <c r="E1763" s="1">
        <v>6.3356159999999995E-2</v>
      </c>
      <c r="F1763" s="2">
        <v>0.10752771</v>
      </c>
    </row>
    <row r="1764" spans="1:6" x14ac:dyDescent="0.25">
      <c r="A1764" t="s">
        <v>6</v>
      </c>
      <c r="B1764" s="5" t="str">
        <f>HYPERLINK("http://www.broadinstitute.org/gsea/msigdb/cards/GOBP_POLYOL_METABOLIC_PROCESS.html","GOBP_POLYOL_METABOLIC_PROCESS")</f>
        <v>GOBP_POLYOL_METABOLIC_PROCESS</v>
      </c>
      <c r="C1764" s="4">
        <v>107</v>
      </c>
      <c r="D1764" s="3">
        <v>1.4217716</v>
      </c>
      <c r="E1764" s="1">
        <v>2.2761759999999999E-2</v>
      </c>
      <c r="F1764" s="2">
        <v>0.10747464</v>
      </c>
    </row>
    <row r="1765" spans="1:6" x14ac:dyDescent="0.25">
      <c r="A1765" t="s">
        <v>10</v>
      </c>
      <c r="B1765" s="5" t="str">
        <f>HYPERLINK("http://www.broadinstitute.org/gsea/msigdb/cards/REACTOME_TRAF6_MEDIATED_INDUCTION_OF_TAK1_COMPLEX_WITHIN_TLR4_COMPLEX.html","REACTOME_TRAF6_MEDIATED_INDUCTION_OF_TAK1_COMPLEX_WITHIN_TLR4_COMPLEX")</f>
        <v>REACTOME_TRAF6_MEDIATED_INDUCTION_OF_TAK1_COMPLEX_WITHIN_TLR4_COMPLEX</v>
      </c>
      <c r="C1765" s="4">
        <v>16</v>
      </c>
      <c r="D1765" s="3">
        <v>1.4217529</v>
      </c>
      <c r="E1765" s="1">
        <v>6.7125649999999995E-2</v>
      </c>
      <c r="F1765" s="2">
        <v>0.107429</v>
      </c>
    </row>
    <row r="1766" spans="1:6" x14ac:dyDescent="0.25">
      <c r="A1766" t="s">
        <v>10</v>
      </c>
      <c r="B1766" s="5" t="str">
        <f>HYPERLINK("http://www.broadinstitute.org/gsea/msigdb/cards/REACTOME_COPII_MEDIATED_VESICLE_TRANSPORT.html","REACTOME_COPII_MEDIATED_VESICLE_TRANSPORT")</f>
        <v>REACTOME_COPII_MEDIATED_VESICLE_TRANSPORT</v>
      </c>
      <c r="C1766" s="4">
        <v>68</v>
      </c>
      <c r="D1766" s="3">
        <v>1.4215367000000001</v>
      </c>
      <c r="E1766" s="1">
        <v>2.685624E-2</v>
      </c>
      <c r="F1766" s="2">
        <v>0.10752614000000001</v>
      </c>
    </row>
    <row r="1767" spans="1:6" x14ac:dyDescent="0.25">
      <c r="A1767" t="s">
        <v>10</v>
      </c>
      <c r="B1767" s="5" t="str">
        <f>HYPERLINK("http://www.broadinstitute.org/gsea/msigdb/cards/REACTOME_CHONDROITIN_SULFATE_BIOSYNTHESIS.html","REACTOME_CHONDROITIN_SULFATE_BIOSYNTHESIS")</f>
        <v>REACTOME_CHONDROITIN_SULFATE_BIOSYNTHESIS</v>
      </c>
      <c r="C1767" s="4">
        <v>18</v>
      </c>
      <c r="D1767" s="3">
        <v>1.4200602</v>
      </c>
      <c r="E1767" s="1">
        <v>7.368421E-2</v>
      </c>
      <c r="F1767" s="2">
        <v>0.108605534</v>
      </c>
    </row>
    <row r="1768" spans="1:6" x14ac:dyDescent="0.25">
      <c r="A1768" t="s">
        <v>6</v>
      </c>
      <c r="B1768" s="5" t="str">
        <f>HYPERLINK("http://www.broadinstitute.org/gsea/msigdb/cards/GOBP_POSITIVE_REGULATION_OF_PEPTIDYL_SERINE_PHOSPHORYLATION.html","GOBP_POSITIVE_REGULATION_OF_PEPTIDYL_SERINE_PHOSPHORYLATION")</f>
        <v>GOBP_POSITIVE_REGULATION_OF_PEPTIDYL_SERINE_PHOSPHORYLATION</v>
      </c>
      <c r="C1768" s="4">
        <v>103</v>
      </c>
      <c r="D1768" s="3">
        <v>1.4197818</v>
      </c>
      <c r="E1768" s="1">
        <v>2.5563909999999999E-2</v>
      </c>
      <c r="F1768" s="2">
        <v>0.108779155</v>
      </c>
    </row>
    <row r="1769" spans="1:6" x14ac:dyDescent="0.25">
      <c r="A1769" t="s">
        <v>6</v>
      </c>
      <c r="B1769" s="5" t="str">
        <f>HYPERLINK("http://www.broadinstitute.org/gsea/msigdb/cards/GOBP_SEQUESTERING_OF_CALCIUM_ION.html","GOBP_SEQUESTERING_OF_CALCIUM_ION")</f>
        <v>GOBP_SEQUESTERING_OF_CALCIUM_ION</v>
      </c>
      <c r="C1769" s="4">
        <v>130</v>
      </c>
      <c r="D1769" s="3">
        <v>1.4195861000000001</v>
      </c>
      <c r="E1769" s="1">
        <v>1.6105417E-2</v>
      </c>
      <c r="F1769" s="2">
        <v>0.10887635499999999</v>
      </c>
    </row>
    <row r="1770" spans="1:6" x14ac:dyDescent="0.25">
      <c r="A1770" t="s">
        <v>10</v>
      </c>
      <c r="B1770" s="5" t="str">
        <f>HYPERLINK("http://www.broadinstitute.org/gsea/msigdb/cards/REACTOME_METABOLISM_OF_NITRIC_OXIDE_NOS3_ACTIVATION_AND_REGULATION.html","REACTOME_METABOLISM_OF_NITRIC_OXIDE_NOS3_ACTIVATION_AND_REGULATION")</f>
        <v>REACTOME_METABOLISM_OF_NITRIC_OXIDE_NOS3_ACTIVATION_AND_REGULATION</v>
      </c>
      <c r="C1770" s="4">
        <v>15</v>
      </c>
      <c r="D1770" s="3">
        <v>1.4191647999999999</v>
      </c>
      <c r="E1770" s="1">
        <v>6.4080946E-2</v>
      </c>
      <c r="F1770" s="2">
        <v>0.109150045</v>
      </c>
    </row>
    <row r="1771" spans="1:6" x14ac:dyDescent="0.25">
      <c r="A1771" t="s">
        <v>10</v>
      </c>
      <c r="B1771" s="5" t="str">
        <f>HYPERLINK("http://www.broadinstitute.org/gsea/msigdb/cards/REACTOME_G_PROTEIN_MEDIATED_EVENTS.html","REACTOME_G_PROTEIN_MEDIATED_EVENTS")</f>
        <v>REACTOME_G_PROTEIN_MEDIATED_EVENTS</v>
      </c>
      <c r="C1771" s="4">
        <v>40</v>
      </c>
      <c r="D1771" s="3">
        <v>1.4184532000000001</v>
      </c>
      <c r="E1771" s="1">
        <v>4.2553189999999998E-2</v>
      </c>
      <c r="F1771" s="2">
        <v>0.109666415</v>
      </c>
    </row>
    <row r="1772" spans="1:6" x14ac:dyDescent="0.25">
      <c r="A1772" t="s">
        <v>8</v>
      </c>
      <c r="B1772" s="5" t="str">
        <f>HYPERLINK("http://www.broadinstitute.org/gsea/msigdb/cards/GOMF_PHOSPHATASE_BINDING.html","GOMF_PHOSPHATASE_BINDING")</f>
        <v>GOMF_PHOSPHATASE_BINDING</v>
      </c>
      <c r="C1772" s="4">
        <v>231</v>
      </c>
      <c r="D1772" s="3">
        <v>1.4181169</v>
      </c>
      <c r="E1772" s="1">
        <v>4.1608875999999996E-3</v>
      </c>
      <c r="F1772" s="2">
        <v>0.10983933</v>
      </c>
    </row>
    <row r="1773" spans="1:6" x14ac:dyDescent="0.25">
      <c r="A1773" t="s">
        <v>10</v>
      </c>
      <c r="B1773" s="5" t="str">
        <f>HYPERLINK("http://www.broadinstitute.org/gsea/msigdb/cards/REACTOME_NETRIN_1_SIGNALING.html","REACTOME_NETRIN_1_SIGNALING")</f>
        <v>REACTOME_NETRIN_1_SIGNALING</v>
      </c>
      <c r="C1773" s="4">
        <v>21</v>
      </c>
      <c r="D1773" s="3">
        <v>1.4178903</v>
      </c>
      <c r="E1773" s="1">
        <v>5.4101219999999998E-2</v>
      </c>
      <c r="F1773" s="2">
        <v>0.10994379999999999</v>
      </c>
    </row>
    <row r="1774" spans="1:6" x14ac:dyDescent="0.25">
      <c r="A1774" t="s">
        <v>6</v>
      </c>
      <c r="B1774" s="5" t="str">
        <f>HYPERLINK("http://www.broadinstitute.org/gsea/msigdb/cards/GOBP_POSITIVE_REGULATION_OF_DEPHOSPHORYLATION.html","GOBP_POSITIVE_REGULATION_OF_DEPHOSPHORYLATION")</f>
        <v>GOBP_POSITIVE_REGULATION_OF_DEPHOSPHORYLATION</v>
      </c>
      <c r="C1774" s="4">
        <v>59</v>
      </c>
      <c r="D1774" s="3">
        <v>1.4177758</v>
      </c>
      <c r="E1774" s="1">
        <v>3.4710743000000002E-2</v>
      </c>
      <c r="F1774" s="2">
        <v>0.10997342</v>
      </c>
    </row>
    <row r="1775" spans="1:6" x14ac:dyDescent="0.25">
      <c r="A1775" t="s">
        <v>6</v>
      </c>
      <c r="B1775" s="5" t="str">
        <f>HYPERLINK("http://www.broadinstitute.org/gsea/msigdb/cards/GOBP_REGULATION_OF_CALCIUM_ION_TRANSPORT.html","GOBP_REGULATION_OF_CALCIUM_ION_TRANSPORT")</f>
        <v>GOBP_REGULATION_OF_CALCIUM_ION_TRANSPORT</v>
      </c>
      <c r="C1775" s="4">
        <v>286</v>
      </c>
      <c r="D1775" s="3">
        <v>1.4170830000000001</v>
      </c>
      <c r="E1775" s="1">
        <v>1.3175230999999999E-3</v>
      </c>
      <c r="F1775" s="2">
        <v>0.11045492</v>
      </c>
    </row>
    <row r="1776" spans="1:6" x14ac:dyDescent="0.25">
      <c r="A1776" t="s">
        <v>6</v>
      </c>
      <c r="B1776" s="5" t="str">
        <f>HYPERLINK("http://www.broadinstitute.org/gsea/msigdb/cards/GOBP_FILOPODIUM_ASSEMBLY.html","GOBP_FILOPODIUM_ASSEMBLY")</f>
        <v>GOBP_FILOPODIUM_ASSEMBLY</v>
      </c>
      <c r="C1776" s="4">
        <v>73</v>
      </c>
      <c r="D1776" s="3">
        <v>1.4165814999999999</v>
      </c>
      <c r="E1776" s="1">
        <v>3.1897925000000001E-2</v>
      </c>
      <c r="F1776" s="2">
        <v>0.11081717000000001</v>
      </c>
    </row>
    <row r="1777" spans="1:6" x14ac:dyDescent="0.25">
      <c r="A1777" t="s">
        <v>6</v>
      </c>
      <c r="B1777" s="5" t="str">
        <f>HYPERLINK("http://www.broadinstitute.org/gsea/msigdb/cards/GOBP_NEGATIVE_REGULATION_OF_CD4_POSITIVE_ALPHA_BETA_T_CELL_ACTIVATION.html","GOBP_NEGATIVE_REGULATION_OF_CD4_POSITIVE_ALPHA_BETA_T_CELL_ACTIVATION")</f>
        <v>GOBP_NEGATIVE_REGULATION_OF_CD4_POSITIVE_ALPHA_BETA_T_CELL_ACTIVATION</v>
      </c>
      <c r="C1777" s="4">
        <v>36</v>
      </c>
      <c r="D1777" s="3">
        <v>1.4164824</v>
      </c>
      <c r="E1777" s="1">
        <v>6.3829789999999997E-2</v>
      </c>
      <c r="F1777" s="2">
        <v>0.11084199</v>
      </c>
    </row>
    <row r="1778" spans="1:6" x14ac:dyDescent="0.25">
      <c r="A1778" t="s">
        <v>6</v>
      </c>
      <c r="B1778" s="5" t="str">
        <f>HYPERLINK("http://www.broadinstitute.org/gsea/msigdb/cards/GOBP_REGULATION_OF_PLATELET_DERIVED_GROWTH_FACTOR_RECEPTOR_SIGNALING_PATHWAY.html","GOBP_REGULATION_OF_PLATELET_DERIVED_GROWTH_FACTOR_RECEPTOR_SIGNALING_PATHWAY")</f>
        <v>GOBP_REGULATION_OF_PLATELET_DERIVED_GROWTH_FACTOR_RECEPTOR_SIGNALING_PATHWAY</v>
      </c>
      <c r="C1778" s="4">
        <v>24</v>
      </c>
      <c r="D1778" s="3">
        <v>1.4160988000000001</v>
      </c>
      <c r="E1778" s="1">
        <v>6.9256760000000001E-2</v>
      </c>
      <c r="F1778" s="2">
        <v>0.11107673</v>
      </c>
    </row>
    <row r="1779" spans="1:6" x14ac:dyDescent="0.25">
      <c r="A1779" t="s">
        <v>6</v>
      </c>
      <c r="B1779" s="5" t="str">
        <f>HYPERLINK("http://www.broadinstitute.org/gsea/msigdb/cards/GOBP_REGULATION_OF_FAT_CELL_DIFFERENTIATION.html","GOBP_REGULATION_OF_FAT_CELL_DIFFERENTIATION")</f>
        <v>GOBP_REGULATION_OF_FAT_CELL_DIFFERENTIATION</v>
      </c>
      <c r="C1779" s="4">
        <v>148</v>
      </c>
      <c r="D1779" s="3">
        <v>1.4159041999999999</v>
      </c>
      <c r="E1779" s="1">
        <v>1.0263929999999999E-2</v>
      </c>
      <c r="F1779" s="2">
        <v>0.11115512</v>
      </c>
    </row>
    <row r="1780" spans="1:6" x14ac:dyDescent="0.25">
      <c r="A1780" t="s">
        <v>6</v>
      </c>
      <c r="B1780" s="5" t="str">
        <f>HYPERLINK("http://www.broadinstitute.org/gsea/msigdb/cards/GOBP_RESPONSE_TO_XENOBIOTIC_STIMULUS.html","GOBP_RESPONSE_TO_XENOBIOTIC_STIMULUS")</f>
        <v>GOBP_RESPONSE_TO_XENOBIOTIC_STIMULUS</v>
      </c>
      <c r="C1780" s="4">
        <v>306</v>
      </c>
      <c r="D1780" s="3">
        <v>1.4158580000000001</v>
      </c>
      <c r="E1780" s="1">
        <v>3.9840639999999998E-3</v>
      </c>
      <c r="F1780" s="2">
        <v>0.11112922</v>
      </c>
    </row>
    <row r="1781" spans="1:6" x14ac:dyDescent="0.25">
      <c r="A1781" t="s">
        <v>6</v>
      </c>
      <c r="B1781" s="5" t="str">
        <f>HYPERLINK("http://www.broadinstitute.org/gsea/msigdb/cards/GOBP_OOCYTE_MATURATION.html","GOBP_OOCYTE_MATURATION")</f>
        <v>GOBP_OOCYTE_MATURATION</v>
      </c>
      <c r="C1781" s="4">
        <v>37</v>
      </c>
      <c r="D1781" s="3">
        <v>1.4157465</v>
      </c>
      <c r="E1781" s="1">
        <v>4.9261081999999998E-2</v>
      </c>
      <c r="F1781" s="2">
        <v>0.111152686</v>
      </c>
    </row>
    <row r="1782" spans="1:6" x14ac:dyDescent="0.25">
      <c r="A1782" t="s">
        <v>6</v>
      </c>
      <c r="B1782" s="5" t="str">
        <f>HYPERLINK("http://www.broadinstitute.org/gsea/msigdb/cards/GOBP_REGULATION_OF_CELL_CELL_ADHESION_MEDIATED_BY_CADHERIN.html","GOBP_REGULATION_OF_CELL_CELL_ADHESION_MEDIATED_BY_CADHERIN")</f>
        <v>GOBP_REGULATION_OF_CELL_CELL_ADHESION_MEDIATED_BY_CADHERIN</v>
      </c>
      <c r="C1782" s="4">
        <v>17</v>
      </c>
      <c r="D1782" s="3">
        <v>1.4157386999999999</v>
      </c>
      <c r="E1782" s="1">
        <v>6.3520869999999993E-2</v>
      </c>
      <c r="F1782" s="2">
        <v>0.11109813</v>
      </c>
    </row>
    <row r="1783" spans="1:6" x14ac:dyDescent="0.25">
      <c r="A1783" t="s">
        <v>6</v>
      </c>
      <c r="B1783" s="5" t="str">
        <f>HYPERLINK("http://www.broadinstitute.org/gsea/msigdb/cards/GOBP_OSSIFICATION.html","GOBP_OSSIFICATION")</f>
        <v>GOBP_OSSIFICATION</v>
      </c>
      <c r="C1783" s="4">
        <v>407</v>
      </c>
      <c r="D1783" s="3">
        <v>1.4155260000000001</v>
      </c>
      <c r="E1783" s="1">
        <v>0</v>
      </c>
      <c r="F1783" s="2">
        <v>0.11123226</v>
      </c>
    </row>
    <row r="1784" spans="1:6" x14ac:dyDescent="0.25">
      <c r="A1784" t="s">
        <v>6</v>
      </c>
      <c r="B1784" s="5" t="str">
        <f>HYPERLINK("http://www.broadinstitute.org/gsea/msigdb/cards/GOBP_FEMALE_PREGNANCY.html","GOBP_FEMALE_PREGNANCY")</f>
        <v>GOBP_FEMALE_PREGNANCY</v>
      </c>
      <c r="C1784" s="4">
        <v>136</v>
      </c>
      <c r="D1784" s="3">
        <v>1.4147067</v>
      </c>
      <c r="E1784" s="1">
        <v>1.1782032E-2</v>
      </c>
      <c r="F1784" s="2">
        <v>0.11182652999999999</v>
      </c>
    </row>
    <row r="1785" spans="1:6" x14ac:dyDescent="0.25">
      <c r="A1785" t="s">
        <v>6</v>
      </c>
      <c r="B1785" s="5" t="str">
        <f>HYPERLINK("http://www.broadinstitute.org/gsea/msigdb/cards/GOBP_REGULATION_OF_EPITHELIAL_CELL_DIFFERENTIATION_INVOLVED_IN_KIDNEY_DEVELOPMENT.html","GOBP_REGULATION_OF_EPITHELIAL_CELL_DIFFERENTIATION_INVOLVED_IN_KIDNEY_DEVELOPMENT")</f>
        <v>GOBP_REGULATION_OF_EPITHELIAL_CELL_DIFFERENTIATION_INVOLVED_IN_KIDNEY_DEVELOPMENT</v>
      </c>
      <c r="C1785" s="4">
        <v>17</v>
      </c>
      <c r="D1785" s="3">
        <v>1.4146581</v>
      </c>
      <c r="E1785" s="1">
        <v>8.1967209999999999E-2</v>
      </c>
      <c r="F1785" s="2">
        <v>0.11180751</v>
      </c>
    </row>
    <row r="1786" spans="1:6" x14ac:dyDescent="0.25">
      <c r="A1786" t="s">
        <v>6</v>
      </c>
      <c r="B1786" s="5" t="str">
        <f>HYPERLINK("http://www.broadinstitute.org/gsea/msigdb/cards/GOBP_POSITIVE_REGULATION_OF_TRANSMEMBRANE_TRANSPORT.html","GOBP_POSITIVE_REGULATION_OF_TRANSMEMBRANE_TRANSPORT")</f>
        <v>GOBP_POSITIVE_REGULATION_OF_TRANSMEMBRANE_TRANSPORT</v>
      </c>
      <c r="C1786" s="4">
        <v>269</v>
      </c>
      <c r="D1786" s="3">
        <v>1.4145759</v>
      </c>
      <c r="E1786" s="1">
        <v>5.2700923000000002E-3</v>
      </c>
      <c r="F1786" s="2">
        <v>0.11180921000000001</v>
      </c>
    </row>
    <row r="1787" spans="1:6" x14ac:dyDescent="0.25">
      <c r="A1787" t="s">
        <v>10</v>
      </c>
      <c r="B1787" s="5" t="str">
        <f>HYPERLINK("http://www.broadinstitute.org/gsea/msigdb/cards/REACTOME_SPRY_REGULATION_OF_FGF_SIGNALING.html","REACTOME_SPRY_REGULATION_OF_FGF_SIGNALING")</f>
        <v>REACTOME_SPRY_REGULATION_OF_FGF_SIGNALING</v>
      </c>
      <c r="C1787" s="4">
        <v>16</v>
      </c>
      <c r="D1787" s="3">
        <v>1.4139378</v>
      </c>
      <c r="E1787" s="1">
        <v>8.3050849999999996E-2</v>
      </c>
      <c r="F1787" s="2">
        <v>0.11222981</v>
      </c>
    </row>
    <row r="1788" spans="1:6" x14ac:dyDescent="0.25">
      <c r="A1788" t="s">
        <v>6</v>
      </c>
      <c r="B1788" s="5" t="str">
        <f>HYPERLINK("http://www.broadinstitute.org/gsea/msigdb/cards/GOBP_KERATINOCYTE_MIGRATION.html","GOBP_KERATINOCYTE_MIGRATION")</f>
        <v>GOBP_KERATINOCYTE_MIGRATION</v>
      </c>
      <c r="C1788" s="4">
        <v>21</v>
      </c>
      <c r="D1788" s="3">
        <v>1.4138459000000001</v>
      </c>
      <c r="E1788" s="1">
        <v>8.3188910000000005E-2</v>
      </c>
      <c r="F1788" s="2">
        <v>0.11224893499999999</v>
      </c>
    </row>
    <row r="1789" spans="1:6" x14ac:dyDescent="0.25">
      <c r="A1789" t="s">
        <v>6</v>
      </c>
      <c r="B1789" s="5" t="str">
        <f>HYPERLINK("http://www.broadinstitute.org/gsea/msigdb/cards/GOBP_REGULATION_OF_TRANSMEMBRANE_RECEPTOR_PROTEIN_SERINE_THREONINE_KINASE_SIGNALING_PATHWAY.html","GOBP_REGULATION_OF_TRANSMEMBRANE_RECEPTOR_PROTEIN_SERINE_THREONINE_KINASE_SIGNALING_PATHWAY")</f>
        <v>GOBP_REGULATION_OF_TRANSMEMBRANE_RECEPTOR_PROTEIN_SERINE_THREONINE_KINASE_SIGNALING_PATHWAY</v>
      </c>
      <c r="C1789" s="4">
        <v>257</v>
      </c>
      <c r="D1789" s="3">
        <v>1.4136652000000001</v>
      </c>
      <c r="E1789" s="1">
        <v>7.9155679999999996E-3</v>
      </c>
      <c r="F1789" s="2">
        <v>0.11232324</v>
      </c>
    </row>
    <row r="1790" spans="1:6" x14ac:dyDescent="0.25">
      <c r="A1790" t="s">
        <v>6</v>
      </c>
      <c r="B1790" s="5" t="str">
        <f>HYPERLINK("http://www.broadinstitute.org/gsea/msigdb/cards/GOBP_LYSOSOMAL_MEMBRANE_ORGANIZATION.html","GOBP_LYSOSOMAL_MEMBRANE_ORGANIZATION")</f>
        <v>GOBP_LYSOSOMAL_MEMBRANE_ORGANIZATION</v>
      </c>
      <c r="C1790" s="4">
        <v>15</v>
      </c>
      <c r="D1790" s="3">
        <v>1.4132849999999999</v>
      </c>
      <c r="E1790" s="1">
        <v>7.5928919999999997E-2</v>
      </c>
      <c r="F1790" s="2">
        <v>0.112573594</v>
      </c>
    </row>
    <row r="1791" spans="1:6" x14ac:dyDescent="0.25">
      <c r="A1791" t="s">
        <v>6</v>
      </c>
      <c r="B1791" s="5" t="str">
        <f>HYPERLINK("http://www.broadinstitute.org/gsea/msigdb/cards/GOBP_SPHINGOLIPID_METABOLIC_PROCESS.html","GOBP_SPHINGOLIPID_METABOLIC_PROCESS")</f>
        <v>GOBP_SPHINGOLIPID_METABOLIC_PROCESS</v>
      </c>
      <c r="C1791" s="4">
        <v>140</v>
      </c>
      <c r="D1791" s="3">
        <v>1.4127308000000001</v>
      </c>
      <c r="E1791" s="1">
        <v>1.4492754E-2</v>
      </c>
      <c r="F1791" s="2">
        <v>0.11295324</v>
      </c>
    </row>
    <row r="1792" spans="1:6" x14ac:dyDescent="0.25">
      <c r="A1792" t="s">
        <v>10</v>
      </c>
      <c r="B1792" s="5" t="str">
        <f>HYPERLINK("http://www.broadinstitute.org/gsea/msigdb/cards/REACTOME_G_BETA_GAMMA_SIGNALLING_THROUGH_CDC42.html","REACTOME_G_BETA_GAMMA_SIGNALLING_THROUGH_CDC42")</f>
        <v>REACTOME_G_BETA_GAMMA_SIGNALLING_THROUGH_CDC42</v>
      </c>
      <c r="C1792" s="4">
        <v>19</v>
      </c>
      <c r="D1792" s="3">
        <v>1.4126458</v>
      </c>
      <c r="E1792" s="1">
        <v>9.717315E-2</v>
      </c>
      <c r="F1792" s="2">
        <v>0.11296223</v>
      </c>
    </row>
    <row r="1793" spans="1:6" x14ac:dyDescent="0.25">
      <c r="A1793" t="s">
        <v>6</v>
      </c>
      <c r="B1793" s="5" t="str">
        <f>HYPERLINK("http://www.broadinstitute.org/gsea/msigdb/cards/GOBP_NUCLEOSIDE_MONOPHOSPHATE_BIOSYNTHETIC_PROCESS.html","GOBP_NUCLEOSIDE_MONOPHOSPHATE_BIOSYNTHETIC_PROCESS")</f>
        <v>GOBP_NUCLEOSIDE_MONOPHOSPHATE_BIOSYNTHETIC_PROCESS</v>
      </c>
      <c r="C1793" s="4">
        <v>43</v>
      </c>
      <c r="D1793" s="3">
        <v>1.4125284</v>
      </c>
      <c r="E1793" s="1">
        <v>4.5380875000000001E-2</v>
      </c>
      <c r="F1793" s="2">
        <v>0.11299731</v>
      </c>
    </row>
    <row r="1794" spans="1:6" x14ac:dyDescent="0.25">
      <c r="A1794" t="s">
        <v>6</v>
      </c>
      <c r="B1794" s="5" t="str">
        <f>HYPERLINK("http://www.broadinstitute.org/gsea/msigdb/cards/GOBP_POSITIVE_REGULATION_OF_CELLULAR_CATABOLIC_PROCESS.html","GOBP_POSITIVE_REGULATION_OF_CELLULAR_CATABOLIC_PROCESS")</f>
        <v>GOBP_POSITIVE_REGULATION_OF_CELLULAR_CATABOLIC_PROCESS</v>
      </c>
      <c r="C1794" s="4">
        <v>331</v>
      </c>
      <c r="D1794" s="3">
        <v>1.4122958000000001</v>
      </c>
      <c r="E1794" s="1">
        <v>3.9215689999999997E-3</v>
      </c>
      <c r="F1794" s="2">
        <v>0.11312999</v>
      </c>
    </row>
    <row r="1795" spans="1:6" x14ac:dyDescent="0.25">
      <c r="A1795" t="s">
        <v>6</v>
      </c>
      <c r="B1795" s="5" t="str">
        <f>HYPERLINK("http://www.broadinstitute.org/gsea/msigdb/cards/GOBP_POSTSYNAPSE_TO_NUCLEUS_SIGNALING_PATHWAY.html","GOBP_POSTSYNAPSE_TO_NUCLEUS_SIGNALING_PATHWAY")</f>
        <v>GOBP_POSTSYNAPSE_TO_NUCLEUS_SIGNALING_PATHWAY</v>
      </c>
      <c r="C1795" s="4">
        <v>16</v>
      </c>
      <c r="D1795" s="3">
        <v>1.4120997</v>
      </c>
      <c r="E1795" s="1">
        <v>9.5158599999999996E-2</v>
      </c>
      <c r="F1795" s="2">
        <v>0.11322462</v>
      </c>
    </row>
    <row r="1796" spans="1:6" x14ac:dyDescent="0.25">
      <c r="A1796" t="s">
        <v>8</v>
      </c>
      <c r="B1796" s="5" t="str">
        <f>HYPERLINK("http://www.broadinstitute.org/gsea/msigdb/cards/GOMF_POLYSACCHARIDE_BINDING.html","GOMF_POLYSACCHARIDE_BINDING")</f>
        <v>GOMF_POLYSACCHARIDE_BINDING</v>
      </c>
      <c r="C1796" s="4">
        <v>26</v>
      </c>
      <c r="D1796" s="3">
        <v>1.4120271</v>
      </c>
      <c r="E1796" s="1">
        <v>7.5862070000000004E-2</v>
      </c>
      <c r="F1796" s="2">
        <v>0.113225535</v>
      </c>
    </row>
    <row r="1797" spans="1:6" x14ac:dyDescent="0.25">
      <c r="A1797" t="s">
        <v>6</v>
      </c>
      <c r="B1797" s="5" t="str">
        <f>HYPERLINK("http://www.broadinstitute.org/gsea/msigdb/cards/GOBP_REGULATION_OF_PROTEIN_POLYMERIZATION.html","GOBP_REGULATION_OF_PROTEIN_POLYMERIZATION")</f>
        <v>GOBP_REGULATION_OF_PROTEIN_POLYMERIZATION</v>
      </c>
      <c r="C1797" s="4">
        <v>200</v>
      </c>
      <c r="D1797" s="3">
        <v>1.4119841</v>
      </c>
      <c r="E1797" s="1">
        <v>5.8651025999999998E-3</v>
      </c>
      <c r="F1797" s="2">
        <v>0.11319019</v>
      </c>
    </row>
    <row r="1798" spans="1:6" x14ac:dyDescent="0.25">
      <c r="A1798" t="s">
        <v>6</v>
      </c>
      <c r="B1798" s="5" t="str">
        <f>HYPERLINK("http://www.broadinstitute.org/gsea/msigdb/cards/GOBP_NEGATIVE_REGULATION_OF_LIPID_TRANSPORT.html","GOBP_NEGATIVE_REGULATION_OF_LIPID_TRANSPORT")</f>
        <v>GOBP_NEGATIVE_REGULATION_OF_LIPID_TRANSPORT</v>
      </c>
      <c r="C1798" s="4">
        <v>35</v>
      </c>
      <c r="D1798" s="3">
        <v>1.4118738</v>
      </c>
      <c r="E1798" s="1">
        <v>4.8739497E-2</v>
      </c>
      <c r="F1798" s="2">
        <v>0.11323531000000001</v>
      </c>
    </row>
    <row r="1799" spans="1:6" x14ac:dyDescent="0.25">
      <c r="A1799" t="s">
        <v>6</v>
      </c>
      <c r="B1799" s="5" t="str">
        <f>HYPERLINK("http://www.broadinstitute.org/gsea/msigdb/cards/GOBP_REGULATION_OF_INTERLEUKIN_4_PRODUCTION.html","GOBP_REGULATION_OF_INTERLEUKIN_4_PRODUCTION")</f>
        <v>GOBP_REGULATION_OF_INTERLEUKIN_4_PRODUCTION</v>
      </c>
      <c r="C1799" s="4">
        <v>45</v>
      </c>
      <c r="D1799" s="3">
        <v>1.4118459000000001</v>
      </c>
      <c r="E1799" s="1">
        <v>3.8664322000000001E-2</v>
      </c>
      <c r="F1799" s="2">
        <v>0.113194585</v>
      </c>
    </row>
    <row r="1800" spans="1:6" x14ac:dyDescent="0.25">
      <c r="A1800" t="s">
        <v>6</v>
      </c>
      <c r="B1800" s="5" t="str">
        <f>HYPERLINK("http://www.broadinstitute.org/gsea/msigdb/cards/GOBP_CARBOHYDRATE_TRANSMEMBRANE_TRANSPORT.html","GOBP_CARBOHYDRATE_TRANSMEMBRANE_TRANSPORT")</f>
        <v>GOBP_CARBOHYDRATE_TRANSMEMBRANE_TRANSPORT</v>
      </c>
      <c r="C1800" s="4">
        <v>122</v>
      </c>
      <c r="D1800" s="3">
        <v>1.4106071</v>
      </c>
      <c r="E1800" s="1">
        <v>1.925926E-2</v>
      </c>
      <c r="F1800" s="2">
        <v>0.11411034</v>
      </c>
    </row>
    <row r="1801" spans="1:6" x14ac:dyDescent="0.25">
      <c r="A1801" t="s">
        <v>6</v>
      </c>
      <c r="B1801" s="5" t="str">
        <f>HYPERLINK("http://www.broadinstitute.org/gsea/msigdb/cards/GOBP_DETECTION_OF_CHEMICAL_STIMULUS.html","GOBP_DETECTION_OF_CHEMICAL_STIMULUS")</f>
        <v>GOBP_DETECTION_OF_CHEMICAL_STIMULUS</v>
      </c>
      <c r="C1801" s="4">
        <v>167</v>
      </c>
      <c r="D1801" s="3">
        <v>1.4105892</v>
      </c>
      <c r="E1801" s="1">
        <v>1.2121211999999999E-2</v>
      </c>
      <c r="F1801" s="2">
        <v>0.114058934</v>
      </c>
    </row>
    <row r="1802" spans="1:6" x14ac:dyDescent="0.25">
      <c r="A1802" t="s">
        <v>6</v>
      </c>
      <c r="B1802" s="5" t="str">
        <f>HYPERLINK("http://www.broadinstitute.org/gsea/msigdb/cards/GOBP_DENDRITIC_SPINE_MAINTENANCE.html","GOBP_DENDRITIC_SPINE_MAINTENANCE")</f>
        <v>GOBP_DENDRITIC_SPINE_MAINTENANCE</v>
      </c>
      <c r="C1802" s="4">
        <v>25</v>
      </c>
      <c r="D1802" s="3">
        <v>1.4102403999999999</v>
      </c>
      <c r="E1802" s="1">
        <v>7.7464790000000006E-2</v>
      </c>
      <c r="F1802" s="2">
        <v>0.114256255</v>
      </c>
    </row>
    <row r="1803" spans="1:6" x14ac:dyDescent="0.25">
      <c r="A1803" t="s">
        <v>7</v>
      </c>
      <c r="B1803" s="5" t="str">
        <f>HYPERLINK("http://www.broadinstitute.org/gsea/msigdb/cards/GOCC_MULTIVESICULAR_BODY.html","GOCC_MULTIVESICULAR_BODY")</f>
        <v>GOCC_MULTIVESICULAR_BODY</v>
      </c>
      <c r="C1803" s="4">
        <v>57</v>
      </c>
      <c r="D1803" s="3">
        <v>1.4100385</v>
      </c>
      <c r="E1803" s="1">
        <v>3.305785E-2</v>
      </c>
      <c r="F1803" s="2">
        <v>0.114360765</v>
      </c>
    </row>
    <row r="1804" spans="1:6" x14ac:dyDescent="0.25">
      <c r="A1804" t="s">
        <v>6</v>
      </c>
      <c r="B1804" s="5" t="str">
        <f>HYPERLINK("http://www.broadinstitute.org/gsea/msigdb/cards/GOBP_POSITIVE_REGULATION_OF_PROTEIN_CATABOLIC_PROCESS.html","GOBP_POSITIVE_REGULATION_OF_PROTEIN_CATABOLIC_PROCESS")</f>
        <v>GOBP_POSITIVE_REGULATION_OF_PROTEIN_CATABOLIC_PROCESS</v>
      </c>
      <c r="C1804" s="4">
        <v>203</v>
      </c>
      <c r="D1804" s="3">
        <v>1.4099503</v>
      </c>
      <c r="E1804" s="1">
        <v>6.9252076000000003E-3</v>
      </c>
      <c r="F1804" s="2">
        <v>0.11437298999999999</v>
      </c>
    </row>
    <row r="1805" spans="1:6" x14ac:dyDescent="0.25">
      <c r="A1805" t="s">
        <v>6</v>
      </c>
      <c r="B1805" s="5" t="str">
        <f>HYPERLINK("http://www.broadinstitute.org/gsea/msigdb/cards/GOBP_POSITIVE_REGULATION_OF_ICOSANOID_SECRETION.html","GOBP_POSITIVE_REGULATION_OF_ICOSANOID_SECRETION")</f>
        <v>GOBP_POSITIVE_REGULATION_OF_ICOSANOID_SECRETION</v>
      </c>
      <c r="C1805" s="4">
        <v>21</v>
      </c>
      <c r="D1805" s="3">
        <v>1.4094652000000001</v>
      </c>
      <c r="E1805" s="1">
        <v>7.9629630000000007E-2</v>
      </c>
      <c r="F1805" s="2">
        <v>0.11471396</v>
      </c>
    </row>
    <row r="1806" spans="1:6" x14ac:dyDescent="0.25">
      <c r="A1806" t="s">
        <v>10</v>
      </c>
      <c r="B1806" s="5" t="str">
        <f>HYPERLINK("http://www.broadinstitute.org/gsea/msigdb/cards/REACTOME_ER_PHAGOSOME_PATHWAY.html","REACTOME_ER_PHAGOSOME_PATHWAY")</f>
        <v>REACTOME_ER_PHAGOSOME_PATHWAY</v>
      </c>
      <c r="C1806" s="4">
        <v>26</v>
      </c>
      <c r="D1806" s="3">
        <v>1.4094262</v>
      </c>
      <c r="E1806" s="1">
        <v>6.1488673000000001E-2</v>
      </c>
      <c r="F1806" s="2">
        <v>0.11467556</v>
      </c>
    </row>
    <row r="1807" spans="1:6" x14ac:dyDescent="0.25">
      <c r="A1807" t="s">
        <v>6</v>
      </c>
      <c r="B1807" s="5" t="str">
        <f>HYPERLINK("http://www.broadinstitute.org/gsea/msigdb/cards/GOBP_POSITIVE_REGULATION_OF_PEPTIDYL_THREONINE_PHOSPHORYLATION.html","GOBP_POSITIVE_REGULATION_OF_PEPTIDYL_THREONINE_PHOSPHORYLATION")</f>
        <v>GOBP_POSITIVE_REGULATION_OF_PEPTIDYL_THREONINE_PHOSPHORYLATION</v>
      </c>
      <c r="C1807" s="4">
        <v>29</v>
      </c>
      <c r="D1807" s="3">
        <v>1.4092851</v>
      </c>
      <c r="E1807" s="1">
        <v>7.6422766000000003E-2</v>
      </c>
      <c r="F1807" s="2">
        <v>0.11472491999999999</v>
      </c>
    </row>
    <row r="1808" spans="1:6" x14ac:dyDescent="0.25">
      <c r="A1808" t="s">
        <v>6</v>
      </c>
      <c r="B1808" s="5" t="str">
        <f>HYPERLINK("http://www.broadinstitute.org/gsea/msigdb/cards/GOBP_NUCLEOBASE_BIOSYNTHETIC_PROCESS.html","GOBP_NUCLEOBASE_BIOSYNTHETIC_PROCESS")</f>
        <v>GOBP_NUCLEOBASE_BIOSYNTHETIC_PROCESS</v>
      </c>
      <c r="C1808" s="4">
        <v>17</v>
      </c>
      <c r="D1808" s="3">
        <v>1.4092289</v>
      </c>
      <c r="E1808" s="1">
        <v>7.2164944999999994E-2</v>
      </c>
      <c r="F1808" s="2">
        <v>0.11470336</v>
      </c>
    </row>
    <row r="1809" spans="1:6" x14ac:dyDescent="0.25">
      <c r="A1809" t="s">
        <v>10</v>
      </c>
      <c r="B1809" s="5" t="str">
        <f>HYPERLINK("http://www.broadinstitute.org/gsea/msigdb/cards/REACTOME_P75_NTR_RECEPTOR_MEDIATED_SIGNALLING.html","REACTOME_P75_NTR_RECEPTOR_MEDIATED_SIGNALLING")</f>
        <v>REACTOME_P75_NTR_RECEPTOR_MEDIATED_SIGNALLING</v>
      </c>
      <c r="C1809" s="4">
        <v>84</v>
      </c>
      <c r="D1809" s="3">
        <v>1.4091562</v>
      </c>
      <c r="E1809" s="1">
        <v>2.2222222999999999E-2</v>
      </c>
      <c r="F1809" s="2">
        <v>0.11469976599999999</v>
      </c>
    </row>
    <row r="1810" spans="1:6" x14ac:dyDescent="0.25">
      <c r="A1810" t="s">
        <v>9</v>
      </c>
      <c r="B1810" s="5" t="str">
        <f>HYPERLINK("http://www.broadinstitute.org/gsea/msigdb/cards/HALLMARK_P53_PATHWAY.html","HALLMARK_P53_PATHWAY")</f>
        <v>HALLMARK_P53_PATHWAY</v>
      </c>
      <c r="C1810" s="4">
        <v>199</v>
      </c>
      <c r="D1810" s="3">
        <v>1.4087129</v>
      </c>
      <c r="E1810" s="1">
        <v>8.1300810000000008E-3</v>
      </c>
      <c r="F1810" s="2">
        <v>0.11502647000000001</v>
      </c>
    </row>
    <row r="1811" spans="1:6" x14ac:dyDescent="0.25">
      <c r="A1811" t="s">
        <v>6</v>
      </c>
      <c r="B1811" s="5" t="str">
        <f>HYPERLINK("http://www.broadinstitute.org/gsea/msigdb/cards/GOBP_POSITIVE_REGULATION_OF_TORC1_SIGNALING.html","GOBP_POSITIVE_REGULATION_OF_TORC1_SIGNALING")</f>
        <v>GOBP_POSITIVE_REGULATION_OF_TORC1_SIGNALING</v>
      </c>
      <c r="C1811" s="4">
        <v>52</v>
      </c>
      <c r="D1811" s="3">
        <v>1.4084673999999999</v>
      </c>
      <c r="E1811" s="1">
        <v>4.6104926999999997E-2</v>
      </c>
      <c r="F1811" s="2">
        <v>0.11515142</v>
      </c>
    </row>
    <row r="1812" spans="1:6" x14ac:dyDescent="0.25">
      <c r="A1812" t="s">
        <v>6</v>
      </c>
      <c r="B1812" s="5" t="str">
        <f>HYPERLINK("http://www.broadinstitute.org/gsea/msigdb/cards/GOBP_INTRACELLULAR_PH_REDUCTION.html","GOBP_INTRACELLULAR_PH_REDUCTION")</f>
        <v>GOBP_INTRACELLULAR_PH_REDUCTION</v>
      </c>
      <c r="C1812" s="4">
        <v>46</v>
      </c>
      <c r="D1812" s="3">
        <v>1.408172</v>
      </c>
      <c r="E1812" s="1">
        <v>3.3599999999999998E-2</v>
      </c>
      <c r="F1812" s="2">
        <v>0.11536091</v>
      </c>
    </row>
    <row r="1813" spans="1:6" x14ac:dyDescent="0.25">
      <c r="A1813" t="s">
        <v>6</v>
      </c>
      <c r="B1813" s="5" t="str">
        <f>HYPERLINK("http://www.broadinstitute.org/gsea/msigdb/cards/GOBP_GLYCOSPHINGOLIPID_BIOSYNTHETIC_PROCESS.html","GOBP_GLYCOSPHINGOLIPID_BIOSYNTHETIC_PROCESS")</f>
        <v>GOBP_GLYCOSPHINGOLIPID_BIOSYNTHETIC_PROCESS</v>
      </c>
      <c r="C1813" s="4">
        <v>30</v>
      </c>
      <c r="D1813" s="3">
        <v>1.4077864</v>
      </c>
      <c r="E1813" s="1">
        <v>6.5546220000000002E-2</v>
      </c>
      <c r="F1813" s="2">
        <v>0.11561506000000001</v>
      </c>
    </row>
    <row r="1814" spans="1:6" x14ac:dyDescent="0.25">
      <c r="A1814" t="s">
        <v>8</v>
      </c>
      <c r="B1814" s="5" t="str">
        <f>HYPERLINK("http://www.broadinstitute.org/gsea/msigdb/cards/GOMF_CARBOHYDRATE_KINASE_ACTIVITY.html","GOMF_CARBOHYDRATE_KINASE_ACTIVITY")</f>
        <v>GOMF_CARBOHYDRATE_KINASE_ACTIVITY</v>
      </c>
      <c r="C1814" s="4">
        <v>21</v>
      </c>
      <c r="D1814" s="3">
        <v>1.4076725000000001</v>
      </c>
      <c r="E1814" s="1">
        <v>7.4999999999999997E-2</v>
      </c>
      <c r="F1814" s="2">
        <v>0.11565228</v>
      </c>
    </row>
    <row r="1815" spans="1:6" x14ac:dyDescent="0.25">
      <c r="A1815" t="s">
        <v>6</v>
      </c>
      <c r="B1815" s="5" t="str">
        <f>HYPERLINK("http://www.broadinstitute.org/gsea/msigdb/cards/GOBP_CELLULAR_RESPONSE_TO_EXTERNAL_STIMULUS.html","GOBP_CELLULAR_RESPONSE_TO_EXTERNAL_STIMULUS")</f>
        <v>GOBP_CELLULAR_RESPONSE_TO_EXTERNAL_STIMULUS</v>
      </c>
      <c r="C1815" s="4">
        <v>288</v>
      </c>
      <c r="D1815" s="3">
        <v>1.4074587000000001</v>
      </c>
      <c r="E1815" s="1">
        <v>2.6350460999999999E-3</v>
      </c>
      <c r="F1815" s="2">
        <v>0.11575043</v>
      </c>
    </row>
    <row r="1816" spans="1:6" x14ac:dyDescent="0.25">
      <c r="A1816" t="s">
        <v>6</v>
      </c>
      <c r="B1816" s="5" t="str">
        <f>HYPERLINK("http://www.broadinstitute.org/gsea/msigdb/cards/GOBP_REGULATION_OF_SUPRAMOLECULAR_FIBER_ORGANIZATION.html","GOBP_REGULATION_OF_SUPRAMOLECULAR_FIBER_ORGANIZATION")</f>
        <v>GOBP_REGULATION_OF_SUPRAMOLECULAR_FIBER_ORGANIZATION</v>
      </c>
      <c r="C1816" s="4">
        <v>383</v>
      </c>
      <c r="D1816" s="3">
        <v>1.4074582</v>
      </c>
      <c r="E1816" s="1">
        <v>0</v>
      </c>
      <c r="F1816" s="2">
        <v>0.115686595</v>
      </c>
    </row>
    <row r="1817" spans="1:6" x14ac:dyDescent="0.25">
      <c r="A1817" t="s">
        <v>6</v>
      </c>
      <c r="B1817" s="5" t="str">
        <f>HYPERLINK("http://www.broadinstitute.org/gsea/msigdb/cards/GOBP_POSITIVE_REGULATION_OF_NEURON_PROJECTION_DEVELOPMENT.html","GOBP_POSITIVE_REGULATION_OF_NEURON_PROJECTION_DEVELOPMENT")</f>
        <v>GOBP_POSITIVE_REGULATION_OF_NEURON_PROJECTION_DEVELOPMENT</v>
      </c>
      <c r="C1817" s="4">
        <v>232</v>
      </c>
      <c r="D1817" s="3">
        <v>1.4074108999999999</v>
      </c>
      <c r="E1817" s="1">
        <v>5.5865919999999996E-3</v>
      </c>
      <c r="F1817" s="2">
        <v>0.1156592</v>
      </c>
    </row>
    <row r="1818" spans="1:6" x14ac:dyDescent="0.25">
      <c r="A1818" t="s">
        <v>10</v>
      </c>
      <c r="B1818" s="5" t="str">
        <f>HYPERLINK("http://www.broadinstitute.org/gsea/msigdb/cards/REACTOME_SIALIC_ACID_METABOLISM.html","REACTOME_SIALIC_ACID_METABOLISM")</f>
        <v>REACTOME_SIALIC_ACID_METABOLISM</v>
      </c>
      <c r="C1818" s="4">
        <v>31</v>
      </c>
      <c r="D1818" s="3">
        <v>1.4072454999999999</v>
      </c>
      <c r="E1818" s="1">
        <v>7.3529415000000001E-2</v>
      </c>
      <c r="F1818" s="2">
        <v>0.11572666</v>
      </c>
    </row>
    <row r="1819" spans="1:6" x14ac:dyDescent="0.25">
      <c r="A1819" t="s">
        <v>6</v>
      </c>
      <c r="B1819" s="5" t="str">
        <f>HYPERLINK("http://www.broadinstitute.org/gsea/msigdb/cards/GOBP_ORGANIC_ACID_TRANSMEMBRANE_TRANSPORT.html","GOBP_ORGANIC_ACID_TRANSMEMBRANE_TRANSPORT")</f>
        <v>GOBP_ORGANIC_ACID_TRANSMEMBRANE_TRANSPORT</v>
      </c>
      <c r="C1819" s="4">
        <v>139</v>
      </c>
      <c r="D1819" s="3">
        <v>1.4064854</v>
      </c>
      <c r="E1819" s="1">
        <v>1.4347202E-2</v>
      </c>
      <c r="F1819" s="2">
        <v>0.11630364999999999</v>
      </c>
    </row>
    <row r="1820" spans="1:6" x14ac:dyDescent="0.25">
      <c r="A1820" t="s">
        <v>6</v>
      </c>
      <c r="B1820" s="5" t="str">
        <f>HYPERLINK("http://www.broadinstitute.org/gsea/msigdb/cards/GOBP_ASTROCYTE_DIFFERENTIATION.html","GOBP_ASTROCYTE_DIFFERENTIATION")</f>
        <v>GOBP_ASTROCYTE_DIFFERENTIATION</v>
      </c>
      <c r="C1820" s="4">
        <v>92</v>
      </c>
      <c r="D1820" s="3">
        <v>1.4060792</v>
      </c>
      <c r="E1820" s="1">
        <v>2.9007634000000001E-2</v>
      </c>
      <c r="F1820" s="2">
        <v>0.11658918</v>
      </c>
    </row>
    <row r="1821" spans="1:6" x14ac:dyDescent="0.25">
      <c r="A1821" t="s">
        <v>10</v>
      </c>
      <c r="B1821" s="5" t="str">
        <f>HYPERLINK("http://www.broadinstitute.org/gsea/msigdb/cards/REACTOME_RIPK1_MEDIATED_REGULATED_NECROSIS.html","REACTOME_RIPK1_MEDIATED_REGULATED_NECROSIS")</f>
        <v>REACTOME_RIPK1_MEDIATED_REGULATED_NECROSIS</v>
      </c>
      <c r="C1821" s="4">
        <v>31</v>
      </c>
      <c r="D1821" s="3">
        <v>1.4059581999999999</v>
      </c>
      <c r="E1821" s="1">
        <v>7.5213680000000005E-2</v>
      </c>
      <c r="F1821" s="2">
        <v>0.11661678</v>
      </c>
    </row>
    <row r="1822" spans="1:6" x14ac:dyDescent="0.25">
      <c r="A1822" t="s">
        <v>6</v>
      </c>
      <c r="B1822" s="5" t="str">
        <f>HYPERLINK("http://www.broadinstitute.org/gsea/msigdb/cards/GOBP_IMP_BIOSYNTHETIC_PROCESS.html","GOBP_IMP_BIOSYNTHETIC_PROCESS")</f>
        <v>GOBP_IMP_BIOSYNTHETIC_PROCESS</v>
      </c>
      <c r="C1822" s="4">
        <v>15</v>
      </c>
      <c r="D1822" s="3">
        <v>1.4056945000000001</v>
      </c>
      <c r="E1822" s="1">
        <v>7.7586204000000006E-2</v>
      </c>
      <c r="F1822" s="2">
        <v>0.11676638</v>
      </c>
    </row>
    <row r="1823" spans="1:6" x14ac:dyDescent="0.25">
      <c r="A1823" t="s">
        <v>6</v>
      </c>
      <c r="B1823" s="5" t="str">
        <f>HYPERLINK("http://www.broadinstitute.org/gsea/msigdb/cards/GOBP_POSITIVE_REGULATION_OF_PROTEIN_LOCALIZATION_TO_PLASMA_MEMBRANE.html","GOBP_POSITIVE_REGULATION_OF_PROTEIN_LOCALIZATION_TO_PLASMA_MEMBRANE")</f>
        <v>GOBP_POSITIVE_REGULATION_OF_PROTEIN_LOCALIZATION_TO_PLASMA_MEMBRANE</v>
      </c>
      <c r="C1823" s="4">
        <v>62</v>
      </c>
      <c r="D1823" s="3">
        <v>1.4056671999999999</v>
      </c>
      <c r="E1823" s="1">
        <v>4.3117743E-2</v>
      </c>
      <c r="F1823" s="2">
        <v>0.11672908999999999</v>
      </c>
    </row>
    <row r="1824" spans="1:6" x14ac:dyDescent="0.25">
      <c r="A1824" t="s">
        <v>8</v>
      </c>
      <c r="B1824" s="5" t="str">
        <f>HYPERLINK("http://www.broadinstitute.org/gsea/msigdb/cards/GOMF_R_SMAD_BINDING.html","GOMF_R_SMAD_BINDING")</f>
        <v>GOMF_R_SMAD_BINDING</v>
      </c>
      <c r="C1824" s="4">
        <v>26</v>
      </c>
      <c r="D1824" s="3">
        <v>1.4053165999999999</v>
      </c>
      <c r="E1824" s="1">
        <v>6.2711865000000006E-2</v>
      </c>
      <c r="F1824" s="2">
        <v>0.1169355</v>
      </c>
    </row>
    <row r="1825" spans="1:6" x14ac:dyDescent="0.25">
      <c r="A1825" t="s">
        <v>6</v>
      </c>
      <c r="B1825" s="5" t="str">
        <f>HYPERLINK("http://www.broadinstitute.org/gsea/msigdb/cards/GOBP_XENOBIOTIC_TRANSPORT.html","GOBP_XENOBIOTIC_TRANSPORT")</f>
        <v>GOBP_XENOBIOTIC_TRANSPORT</v>
      </c>
      <c r="C1825" s="4">
        <v>40</v>
      </c>
      <c r="D1825" s="3">
        <v>1.405165</v>
      </c>
      <c r="E1825" s="1">
        <v>5.3571430000000003E-2</v>
      </c>
      <c r="F1825" s="2">
        <v>0.116992526</v>
      </c>
    </row>
    <row r="1826" spans="1:6" x14ac:dyDescent="0.25">
      <c r="A1826" t="s">
        <v>6</v>
      </c>
      <c r="B1826" s="5" t="str">
        <f>HYPERLINK("http://www.broadinstitute.org/gsea/msigdb/cards/GOBP_POSITIVE_REGULATION_OF_EXTRINSIC_APOPTOTIC_SIGNALING_PATHWAY_VIA_DEATH_DOMAIN_RECEPTORS.html","GOBP_POSITIVE_REGULATION_OF_EXTRINSIC_APOPTOTIC_SIGNALING_PATHWAY_VIA_DEATH_DOMAIN_RECEPTORS")</f>
        <v>GOBP_POSITIVE_REGULATION_OF_EXTRINSIC_APOPTOTIC_SIGNALING_PATHWAY_VIA_DEATH_DOMAIN_RECEPTORS</v>
      </c>
      <c r="C1826" s="4">
        <v>16</v>
      </c>
      <c r="D1826" s="3">
        <v>1.4050897</v>
      </c>
      <c r="E1826" s="1">
        <v>9.0909089999999998E-2</v>
      </c>
      <c r="F1826" s="2">
        <v>0.1169907</v>
      </c>
    </row>
    <row r="1827" spans="1:6" x14ac:dyDescent="0.25">
      <c r="A1827" t="s">
        <v>6</v>
      </c>
      <c r="B1827" s="5" t="str">
        <f>HYPERLINK("http://www.broadinstitute.org/gsea/msigdb/cards/GOBP_REGULATED_EXOCYTOSIS.html","GOBP_REGULATED_EXOCYTOSIS")</f>
        <v>GOBP_REGULATED_EXOCYTOSIS</v>
      </c>
      <c r="C1827" s="4">
        <v>254</v>
      </c>
      <c r="D1827" s="3">
        <v>1.4050800999999999</v>
      </c>
      <c r="E1827" s="1">
        <v>8.1300810000000008E-3</v>
      </c>
      <c r="F1827" s="2">
        <v>0.11693545</v>
      </c>
    </row>
    <row r="1828" spans="1:6" x14ac:dyDescent="0.25">
      <c r="A1828" t="s">
        <v>6</v>
      </c>
      <c r="B1828" s="5" t="str">
        <f>HYPERLINK("http://www.broadinstitute.org/gsea/msigdb/cards/GOBP_MAINTENANCE_OF_LOCATION.html","GOBP_MAINTENANCE_OF_LOCATION")</f>
        <v>GOBP_MAINTENANCE_OF_LOCATION</v>
      </c>
      <c r="C1828" s="4">
        <v>353</v>
      </c>
      <c r="D1828" s="3">
        <v>1.4049878</v>
      </c>
      <c r="E1828" s="1">
        <v>2.6350460999999999E-3</v>
      </c>
      <c r="F1828" s="2">
        <v>0.11695680999999999</v>
      </c>
    </row>
    <row r="1829" spans="1:6" x14ac:dyDescent="0.25">
      <c r="A1829" t="s">
        <v>6</v>
      </c>
      <c r="B1829" s="5" t="str">
        <f>HYPERLINK("http://www.broadinstitute.org/gsea/msigdb/cards/GOBP_INDOLE_CONTAINING_COMPOUND_METABOLIC_PROCESS.html","GOBP_INDOLE_CONTAINING_COMPOUND_METABOLIC_PROCESS")</f>
        <v>GOBP_INDOLE_CONTAINING_COMPOUND_METABOLIC_PROCESS</v>
      </c>
      <c r="C1829" s="4">
        <v>26</v>
      </c>
      <c r="D1829" s="3">
        <v>1.4044793</v>
      </c>
      <c r="E1829" s="1">
        <v>6.9084629999999994E-2</v>
      </c>
      <c r="F1829" s="2">
        <v>0.11733456</v>
      </c>
    </row>
    <row r="1830" spans="1:6" x14ac:dyDescent="0.25">
      <c r="A1830" t="s">
        <v>5</v>
      </c>
      <c r="B1830" s="5" t="str">
        <f>HYPERLINK("http://www.broadinstitute.org/gsea/msigdb/cards/BIOCARTA_41BB_PATHWAY.html","BIOCARTA_41BB_PATHWAY")</f>
        <v>BIOCARTA_41BB_PATHWAY</v>
      </c>
      <c r="C1830" s="4">
        <v>18</v>
      </c>
      <c r="D1830" s="3">
        <v>1.4044304999999999</v>
      </c>
      <c r="E1830" s="1">
        <v>8.1597223999999996E-2</v>
      </c>
      <c r="F1830" s="2">
        <v>0.11732132000000001</v>
      </c>
    </row>
    <row r="1831" spans="1:6" x14ac:dyDescent="0.25">
      <c r="A1831" t="s">
        <v>6</v>
      </c>
      <c r="B1831" s="5" t="str">
        <f>HYPERLINK("http://www.broadinstitute.org/gsea/msigdb/cards/GOBP_VESICLE_TARGETING_ROUGH_ER_TO_CIS_GOLGI.html","GOBP_VESICLE_TARGETING_ROUGH_ER_TO_CIS_GOLGI")</f>
        <v>GOBP_VESICLE_TARGETING_ROUGH_ER_TO_CIS_GOLGI</v>
      </c>
      <c r="C1831" s="4">
        <v>20</v>
      </c>
      <c r="D1831" s="3">
        <v>1.4043808</v>
      </c>
      <c r="E1831" s="1">
        <v>8.0756016E-2</v>
      </c>
      <c r="F1831" s="2">
        <v>0.11729804000000001</v>
      </c>
    </row>
    <row r="1832" spans="1:6" x14ac:dyDescent="0.25">
      <c r="A1832" t="s">
        <v>6</v>
      </c>
      <c r="B1832" s="5" t="str">
        <f>HYPERLINK("http://www.broadinstitute.org/gsea/msigdb/cards/GOBP_OUTFLOW_TRACT_MORPHOGENESIS.html","GOBP_OUTFLOW_TRACT_MORPHOGENESIS")</f>
        <v>GOBP_OUTFLOW_TRACT_MORPHOGENESIS</v>
      </c>
      <c r="C1832" s="4">
        <v>87</v>
      </c>
      <c r="D1832" s="3">
        <v>1.4041364000000001</v>
      </c>
      <c r="E1832" s="1">
        <v>1.5772870000000001E-2</v>
      </c>
      <c r="F1832" s="2">
        <v>0.11743342</v>
      </c>
    </row>
    <row r="1833" spans="1:6" x14ac:dyDescent="0.25">
      <c r="A1833" t="s">
        <v>10</v>
      </c>
      <c r="B1833" s="5" t="str">
        <f>HYPERLINK("http://www.broadinstitute.org/gsea/msigdb/cards/REACTOME_CARGO_TRAFFICKING_TO_THE_PERICILIARY_MEMBRANE.html","REACTOME_CARGO_TRAFFICKING_TO_THE_PERICILIARY_MEMBRANE")</f>
        <v>REACTOME_CARGO_TRAFFICKING_TO_THE_PERICILIARY_MEMBRANE</v>
      </c>
      <c r="C1833" s="4">
        <v>39</v>
      </c>
      <c r="D1833" s="3">
        <v>1.4039391999999999</v>
      </c>
      <c r="E1833" s="1">
        <v>6.0855262E-2</v>
      </c>
      <c r="F1833" s="2">
        <v>0.11753851</v>
      </c>
    </row>
    <row r="1834" spans="1:6" x14ac:dyDescent="0.25">
      <c r="A1834" t="s">
        <v>6</v>
      </c>
      <c r="B1834" s="5" t="str">
        <f>HYPERLINK("http://www.broadinstitute.org/gsea/msigdb/cards/GOBP_MODULATION_BY_HOST_OF_VIRAL_PROCESS.html","GOBP_MODULATION_BY_HOST_OF_VIRAL_PROCESS")</f>
        <v>GOBP_MODULATION_BY_HOST_OF_VIRAL_PROCESS</v>
      </c>
      <c r="C1834" s="4">
        <v>45</v>
      </c>
      <c r="D1834" s="3">
        <v>1.4028735999999999</v>
      </c>
      <c r="E1834" s="1">
        <v>5.4726370000000003E-2</v>
      </c>
      <c r="F1834" s="2">
        <v>0.11836722</v>
      </c>
    </row>
    <row r="1835" spans="1:6" x14ac:dyDescent="0.25">
      <c r="A1835" t="s">
        <v>6</v>
      </c>
      <c r="B1835" s="5" t="str">
        <f>HYPERLINK("http://www.broadinstitute.org/gsea/msigdb/cards/GOBP_REGULATION_OF_CYTOPLASMIC_TRANSPORT.html","GOBP_REGULATION_OF_CYTOPLASMIC_TRANSPORT")</f>
        <v>GOBP_REGULATION_OF_CYTOPLASMIC_TRANSPORT</v>
      </c>
      <c r="C1835" s="4">
        <v>31</v>
      </c>
      <c r="D1835" s="3">
        <v>1.4027752</v>
      </c>
      <c r="E1835" s="1">
        <v>5.958132E-2</v>
      </c>
      <c r="F1835" s="2">
        <v>0.11838537</v>
      </c>
    </row>
    <row r="1836" spans="1:6" x14ac:dyDescent="0.25">
      <c r="A1836" t="s">
        <v>6</v>
      </c>
      <c r="B1836" s="5" t="str">
        <f>HYPERLINK("http://www.broadinstitute.org/gsea/msigdb/cards/GOBP_REGULATION_OF_PROTEIN_LOCALIZATION_TO_PLASMA_MEMBRANE.html","GOBP_REGULATION_OF_PROTEIN_LOCALIZATION_TO_PLASMA_MEMBRANE")</f>
        <v>GOBP_REGULATION_OF_PROTEIN_LOCALIZATION_TO_PLASMA_MEMBRANE</v>
      </c>
      <c r="C1836" s="4">
        <v>116</v>
      </c>
      <c r="D1836" s="3">
        <v>1.4021404</v>
      </c>
      <c r="E1836" s="1">
        <v>1.8518519000000001E-2</v>
      </c>
      <c r="F1836" s="2">
        <v>0.118846074</v>
      </c>
    </row>
    <row r="1837" spans="1:6" x14ac:dyDescent="0.25">
      <c r="A1837" t="s">
        <v>10</v>
      </c>
      <c r="B1837" s="5" t="str">
        <f>HYPERLINK("http://www.broadinstitute.org/gsea/msigdb/cards/REACTOME_PEROXISOMAL_LIPID_METABOLISM.html","REACTOME_PEROXISOMAL_LIPID_METABOLISM")</f>
        <v>REACTOME_PEROXISOMAL_LIPID_METABOLISM</v>
      </c>
      <c r="C1837" s="4">
        <v>28</v>
      </c>
      <c r="D1837" s="3">
        <v>1.4013214000000001</v>
      </c>
      <c r="E1837" s="1">
        <v>7.5928919999999997E-2</v>
      </c>
      <c r="F1837" s="2">
        <v>0.11947143</v>
      </c>
    </row>
    <row r="1838" spans="1:6" x14ac:dyDescent="0.25">
      <c r="A1838" t="s">
        <v>8</v>
      </c>
      <c r="B1838" s="5" t="str">
        <f>HYPERLINK("http://www.broadinstitute.org/gsea/msigdb/cards/GOMF_PHOSPHORIC_DIESTER_HYDROLASE_ACTIVITY.html","GOMF_PHOSPHORIC_DIESTER_HYDROLASE_ACTIVITY")</f>
        <v>GOMF_PHOSPHORIC_DIESTER_HYDROLASE_ACTIVITY</v>
      </c>
      <c r="C1838" s="4">
        <v>85</v>
      </c>
      <c r="D1838" s="3">
        <v>1.4012587999999999</v>
      </c>
      <c r="E1838" s="1">
        <v>2.9595015999999998E-2</v>
      </c>
      <c r="F1838" s="2">
        <v>0.11946418</v>
      </c>
    </row>
    <row r="1839" spans="1:6" x14ac:dyDescent="0.25">
      <c r="A1839" t="s">
        <v>5</v>
      </c>
      <c r="B1839" s="5" t="str">
        <f>HYPERLINK("http://www.broadinstitute.org/gsea/msigdb/cards/BIOCARTA_IL6_PATHWAY.html","BIOCARTA_IL6_PATHWAY")</f>
        <v>BIOCARTA_IL6_PATHWAY</v>
      </c>
      <c r="C1839" s="4">
        <v>22</v>
      </c>
      <c r="D1839" s="3">
        <v>1.4010524</v>
      </c>
      <c r="E1839" s="1">
        <v>6.4625849999999999E-2</v>
      </c>
      <c r="F1839" s="2">
        <v>0.11956911000000001</v>
      </c>
    </row>
    <row r="1840" spans="1:6" x14ac:dyDescent="0.25">
      <c r="A1840" t="s">
        <v>6</v>
      </c>
      <c r="B1840" s="5" t="str">
        <f>HYPERLINK("http://www.broadinstitute.org/gsea/msigdb/cards/GOBP_LACTATION.html","GOBP_LACTATION")</f>
        <v>GOBP_LACTATION</v>
      </c>
      <c r="C1840" s="4">
        <v>39</v>
      </c>
      <c r="D1840" s="3">
        <v>1.400614</v>
      </c>
      <c r="E1840" s="1">
        <v>6.4891845000000004E-2</v>
      </c>
      <c r="F1840" s="2">
        <v>0.11988506</v>
      </c>
    </row>
    <row r="1841" spans="1:6" x14ac:dyDescent="0.25">
      <c r="A1841" t="s">
        <v>6</v>
      </c>
      <c r="B1841" s="5" t="str">
        <f>HYPERLINK("http://www.broadinstitute.org/gsea/msigdb/cards/GOBP_MULTI_MULTICELLULAR_ORGANISM_PROCESS.html","GOBP_MULTI_MULTICELLULAR_ORGANISM_PROCESS")</f>
        <v>GOBP_MULTI_MULTICELLULAR_ORGANISM_PROCESS</v>
      </c>
      <c r="C1841" s="4">
        <v>165</v>
      </c>
      <c r="D1841" s="3">
        <v>1.4005992</v>
      </c>
      <c r="E1841" s="1">
        <v>1.6717326000000001E-2</v>
      </c>
      <c r="F1841" s="2">
        <v>0.11983634999999999</v>
      </c>
    </row>
    <row r="1842" spans="1:6" x14ac:dyDescent="0.25">
      <c r="A1842" t="s">
        <v>6</v>
      </c>
      <c r="B1842" s="5" t="str">
        <f>HYPERLINK("http://www.broadinstitute.org/gsea/msigdb/cards/GOBP_CALCIUM_ION_HOMEOSTASIS.html","GOBP_CALCIUM_ION_HOMEOSTASIS")</f>
        <v>GOBP_CALCIUM_ION_HOMEOSTASIS</v>
      </c>
      <c r="C1842" s="4">
        <v>330</v>
      </c>
      <c r="D1842" s="3">
        <v>1.4004970999999999</v>
      </c>
      <c r="E1842" s="1">
        <v>1.2919896999999999E-3</v>
      </c>
      <c r="F1842" s="2">
        <v>0.11986481</v>
      </c>
    </row>
    <row r="1843" spans="1:6" x14ac:dyDescent="0.25">
      <c r="A1843" t="s">
        <v>7</v>
      </c>
      <c r="B1843" s="5" t="str">
        <f>HYPERLINK("http://www.broadinstitute.org/gsea/msigdb/cards/GOCC_CELL_PROJECTION_MEMBRANE.html","GOCC_CELL_PROJECTION_MEMBRANE")</f>
        <v>GOCC_CELL_PROJECTION_MEMBRANE</v>
      </c>
      <c r="C1843" s="4">
        <v>321</v>
      </c>
      <c r="D1843" s="3">
        <v>1.3998835000000001</v>
      </c>
      <c r="E1843" s="1">
        <v>1.3157895000000001E-3</v>
      </c>
      <c r="F1843" s="2">
        <v>0.12032372500000001</v>
      </c>
    </row>
    <row r="1844" spans="1:6" x14ac:dyDescent="0.25">
      <c r="A1844" t="s">
        <v>6</v>
      </c>
      <c r="B1844" s="5" t="str">
        <f>HYPERLINK("http://www.broadinstitute.org/gsea/msigdb/cards/GOBP_REGULATION_OF_ORGANIC_ACID_TRANSPORT.html","GOBP_REGULATION_OF_ORGANIC_ACID_TRANSPORT")</f>
        <v>GOBP_REGULATION_OF_ORGANIC_ACID_TRANSPORT</v>
      </c>
      <c r="C1844" s="4">
        <v>99</v>
      </c>
      <c r="D1844" s="3">
        <v>1.399675</v>
      </c>
      <c r="E1844" s="1">
        <v>2.6813879999999998E-2</v>
      </c>
      <c r="F1844" s="2">
        <v>0.12043247999999999</v>
      </c>
    </row>
    <row r="1845" spans="1:6" x14ac:dyDescent="0.25">
      <c r="A1845" t="s">
        <v>6</v>
      </c>
      <c r="B1845" s="5" t="str">
        <f>HYPERLINK("http://www.broadinstitute.org/gsea/msigdb/cards/GOBP_ENDOTHELIAL_CELL_MORPHOGENESIS.html","GOBP_ENDOTHELIAL_CELL_MORPHOGENESIS")</f>
        <v>GOBP_ENDOTHELIAL_CELL_MORPHOGENESIS</v>
      </c>
      <c r="C1845" s="4">
        <v>15</v>
      </c>
      <c r="D1845" s="3">
        <v>1.3994298999999999</v>
      </c>
      <c r="E1845" s="1">
        <v>9.0090089999999998E-2</v>
      </c>
      <c r="F1845" s="2">
        <v>0.12055584</v>
      </c>
    </row>
    <row r="1846" spans="1:6" x14ac:dyDescent="0.25">
      <c r="A1846" t="s">
        <v>10</v>
      </c>
      <c r="B1846" s="5" t="str">
        <f>HYPERLINK("http://www.broadinstitute.org/gsea/msigdb/cards/REACTOME_INTERLEUKIN_6_FAMILY_SIGNALING.html","REACTOME_INTERLEUKIN_6_FAMILY_SIGNALING")</f>
        <v>REACTOME_INTERLEUKIN_6_FAMILY_SIGNALING</v>
      </c>
      <c r="C1846" s="4">
        <v>22</v>
      </c>
      <c r="D1846" s="3">
        <v>1.3994186</v>
      </c>
      <c r="E1846" s="1">
        <v>7.5134166000000002E-2</v>
      </c>
      <c r="F1846" s="2">
        <v>0.12049809</v>
      </c>
    </row>
    <row r="1847" spans="1:6" x14ac:dyDescent="0.25">
      <c r="A1847" t="s">
        <v>10</v>
      </c>
      <c r="B1847" s="5" t="str">
        <f>HYPERLINK("http://www.broadinstitute.org/gsea/msigdb/cards/REACTOME_N_GLYCAN_ANTENNAE_ELONGATION.html","REACTOME_N_GLYCAN_ANTENNAE_ELONGATION")</f>
        <v>REACTOME_N_GLYCAN_ANTENNAE_ELONGATION</v>
      </c>
      <c r="C1847" s="4">
        <v>15</v>
      </c>
      <c r="D1847" s="3">
        <v>1.3993739999999999</v>
      </c>
      <c r="E1847" s="1">
        <v>6.7150639999999998E-2</v>
      </c>
      <c r="F1847" s="2">
        <v>0.12048199</v>
      </c>
    </row>
    <row r="1848" spans="1:6" x14ac:dyDescent="0.25">
      <c r="A1848" t="s">
        <v>6</v>
      </c>
      <c r="B1848" s="5" t="str">
        <f>HYPERLINK("http://www.broadinstitute.org/gsea/msigdb/cards/GOBP_MUSCLE_CELL_PROLIFERATION.html","GOBP_MUSCLE_CELL_PROLIFERATION")</f>
        <v>GOBP_MUSCLE_CELL_PROLIFERATION</v>
      </c>
      <c r="C1848" s="4">
        <v>267</v>
      </c>
      <c r="D1848" s="3">
        <v>1.3982785</v>
      </c>
      <c r="E1848" s="1">
        <v>6.6934404999999999E-3</v>
      </c>
      <c r="F1848" s="2">
        <v>0.12132446500000001</v>
      </c>
    </row>
    <row r="1849" spans="1:6" x14ac:dyDescent="0.25">
      <c r="A1849" t="s">
        <v>6</v>
      </c>
      <c r="B1849" s="5" t="str">
        <f>HYPERLINK("http://www.broadinstitute.org/gsea/msigdb/cards/GOBP_DETECTION_OF_STIMULUS.html","GOBP_DETECTION_OF_STIMULUS")</f>
        <v>GOBP_DETECTION_OF_STIMULUS</v>
      </c>
      <c r="C1849" s="4">
        <v>323</v>
      </c>
      <c r="D1849" s="3">
        <v>1.3980265000000001</v>
      </c>
      <c r="E1849" s="1">
        <v>1.2953368000000001E-3</v>
      </c>
      <c r="F1849" s="2">
        <v>0.12146647000000001</v>
      </c>
    </row>
    <row r="1850" spans="1:6" x14ac:dyDescent="0.25">
      <c r="A1850" t="s">
        <v>6</v>
      </c>
      <c r="B1850" s="5" t="str">
        <f>HYPERLINK("http://www.broadinstitute.org/gsea/msigdb/cards/GOBP_NEGATIVE_REGULATION_OF_CHEMOKINE_PRODUCTION.html","GOBP_NEGATIVE_REGULATION_OF_CHEMOKINE_PRODUCTION")</f>
        <v>GOBP_NEGATIVE_REGULATION_OF_CHEMOKINE_PRODUCTION</v>
      </c>
      <c r="C1850" s="4">
        <v>33</v>
      </c>
      <c r="D1850" s="3">
        <v>1.3978805999999999</v>
      </c>
      <c r="E1850" s="1">
        <v>7.0826310000000003E-2</v>
      </c>
      <c r="F1850" s="2">
        <v>0.121520266</v>
      </c>
    </row>
    <row r="1851" spans="1:6" x14ac:dyDescent="0.25">
      <c r="A1851" t="s">
        <v>6</v>
      </c>
      <c r="B1851" s="5" t="str">
        <f>HYPERLINK("http://www.broadinstitute.org/gsea/msigdb/cards/GOBP_POSITIVE_REGULATION_OF_INTRINSIC_APOPTOTIC_SIGNALING_PATHWAY.html","GOBP_POSITIVE_REGULATION_OF_INTRINSIC_APOPTOTIC_SIGNALING_PATHWAY")</f>
        <v>GOBP_POSITIVE_REGULATION_OF_INTRINSIC_APOPTOTIC_SIGNALING_PATHWAY</v>
      </c>
      <c r="C1851" s="4">
        <v>73</v>
      </c>
      <c r="D1851" s="3">
        <v>1.3971100000000001</v>
      </c>
      <c r="E1851" s="1">
        <v>4.0498443000000002E-2</v>
      </c>
      <c r="F1851" s="2">
        <v>0.12213144500000001</v>
      </c>
    </row>
    <row r="1852" spans="1:6" x14ac:dyDescent="0.25">
      <c r="A1852" t="s">
        <v>6</v>
      </c>
      <c r="B1852" s="5" t="str">
        <f>HYPERLINK("http://www.broadinstitute.org/gsea/msigdb/cards/GOBP_POSITIVE_REGULATION_OF_PROTEIN_DEPHOSPHORYLATION.html","GOBP_POSITIVE_REGULATION_OF_PROTEIN_DEPHOSPHORYLATION")</f>
        <v>GOBP_POSITIVE_REGULATION_OF_PROTEIN_DEPHOSPHORYLATION</v>
      </c>
      <c r="C1852" s="4">
        <v>43</v>
      </c>
      <c r="D1852" s="3">
        <v>1.3969518999999999</v>
      </c>
      <c r="E1852" s="1">
        <v>4.2207792000000001E-2</v>
      </c>
      <c r="F1852" s="2">
        <v>0.122198984</v>
      </c>
    </row>
    <row r="1853" spans="1:6" x14ac:dyDescent="0.25">
      <c r="A1853" t="s">
        <v>6</v>
      </c>
      <c r="B1853" s="5" t="str">
        <f>HYPERLINK("http://www.broadinstitute.org/gsea/msigdb/cards/GOBP_BIOLOGICAL_PROCESS_INVOLVED_IN_INTERACTION_WITH_SYMBIONT.html","GOBP_BIOLOGICAL_PROCESS_INVOLVED_IN_INTERACTION_WITH_SYMBIONT")</f>
        <v>GOBP_BIOLOGICAL_PROCESS_INVOLVED_IN_INTERACTION_WITH_SYMBIONT</v>
      </c>
      <c r="C1853" s="4">
        <v>106</v>
      </c>
      <c r="D1853" s="3">
        <v>1.3968872000000001</v>
      </c>
      <c r="E1853" s="1">
        <v>2.7231468000000002E-2</v>
      </c>
      <c r="F1853" s="2">
        <v>0.12217807999999999</v>
      </c>
    </row>
    <row r="1854" spans="1:6" x14ac:dyDescent="0.25">
      <c r="A1854" t="s">
        <v>6</v>
      </c>
      <c r="B1854" s="5" t="str">
        <f>HYPERLINK("http://www.broadinstitute.org/gsea/msigdb/cards/GOBP_ESTABLISHMENT_OF_PLANAR_POLARITY_INVOLVED_IN_NEURAL_TUBE_CLOSURE.html","GOBP_ESTABLISHMENT_OF_PLANAR_POLARITY_INVOLVED_IN_NEURAL_TUBE_CLOSURE")</f>
        <v>GOBP_ESTABLISHMENT_OF_PLANAR_POLARITY_INVOLVED_IN_NEURAL_TUBE_CLOSURE</v>
      </c>
      <c r="C1854" s="4">
        <v>16</v>
      </c>
      <c r="D1854" s="3">
        <v>1.3967847</v>
      </c>
      <c r="E1854" s="1">
        <v>8.0068139999999996E-2</v>
      </c>
      <c r="F1854" s="2">
        <v>0.12222669999999999</v>
      </c>
    </row>
    <row r="1855" spans="1:6" x14ac:dyDescent="0.25">
      <c r="A1855" t="s">
        <v>6</v>
      </c>
      <c r="B1855" s="5" t="str">
        <f>HYPERLINK("http://www.broadinstitute.org/gsea/msigdb/cards/GOBP_TEMPERATURE_HOMEOSTASIS.html","GOBP_TEMPERATURE_HOMEOSTASIS")</f>
        <v>GOBP_TEMPERATURE_HOMEOSTASIS</v>
      </c>
      <c r="C1855" s="4">
        <v>194</v>
      </c>
      <c r="D1855" s="3">
        <v>1.3964745999999999</v>
      </c>
      <c r="E1855" s="1">
        <v>8.2191780000000006E-3</v>
      </c>
      <c r="F1855" s="2">
        <v>0.12243627999999999</v>
      </c>
    </row>
    <row r="1856" spans="1:6" x14ac:dyDescent="0.25">
      <c r="A1856" t="s">
        <v>10</v>
      </c>
      <c r="B1856" s="5" t="str">
        <f>HYPERLINK("http://www.broadinstitute.org/gsea/msigdb/cards/REACTOME_GAMMA_CARBOXYLATION_HYPUSINYLATION_HYDROXYLATION_AND_ARYLSULFATASE_ACTIVATION.html","REACTOME_GAMMA_CARBOXYLATION_HYPUSINYLATION_HYDROXYLATION_AND_ARYLSULFATASE_ACTIVATION")</f>
        <v>REACTOME_GAMMA_CARBOXYLATION_HYPUSINYLATION_HYDROXYLATION_AND_ARYLSULFATASE_ACTIVATION</v>
      </c>
      <c r="C1856" s="4">
        <v>53</v>
      </c>
      <c r="D1856" s="3">
        <v>1.3956698999999999</v>
      </c>
      <c r="E1856" s="1">
        <v>3.6220471999999997E-2</v>
      </c>
      <c r="F1856" s="2">
        <v>0.123037785</v>
      </c>
    </row>
    <row r="1857" spans="1:6" x14ac:dyDescent="0.25">
      <c r="A1857" t="s">
        <v>6</v>
      </c>
      <c r="B1857" s="5" t="str">
        <f>HYPERLINK("http://www.broadinstitute.org/gsea/msigdb/cards/GOBP_TRANS_SYNAPTIC_SIGNALING_MODULATING_SYNAPTIC_TRANSMISSION.html","GOBP_TRANS_SYNAPTIC_SIGNALING_MODULATING_SYNAPTIC_TRANSMISSION")</f>
        <v>GOBP_TRANS_SYNAPTIC_SIGNALING_MODULATING_SYNAPTIC_TRANSMISSION</v>
      </c>
      <c r="C1857" s="4">
        <v>15</v>
      </c>
      <c r="D1857" s="3">
        <v>1.3955092</v>
      </c>
      <c r="E1857" s="1">
        <v>9.0136049999999995E-2</v>
      </c>
      <c r="F1857" s="2">
        <v>0.12310773999999999</v>
      </c>
    </row>
    <row r="1858" spans="1:6" x14ac:dyDescent="0.25">
      <c r="A1858" t="s">
        <v>6</v>
      </c>
      <c r="B1858" s="5" t="str">
        <f>HYPERLINK("http://www.broadinstitute.org/gsea/msigdb/cards/GOBP_REGULATION_OF_MYELINATION.html","GOBP_REGULATION_OF_MYELINATION")</f>
        <v>GOBP_REGULATION_OF_MYELINATION</v>
      </c>
      <c r="C1858" s="4">
        <v>59</v>
      </c>
      <c r="D1858" s="3">
        <v>1.3954896999999999</v>
      </c>
      <c r="E1858" s="1">
        <v>4.8895899999999999E-2</v>
      </c>
      <c r="F1858" s="2">
        <v>0.12305658</v>
      </c>
    </row>
    <row r="1859" spans="1:6" x14ac:dyDescent="0.25">
      <c r="A1859" t="s">
        <v>6</v>
      </c>
      <c r="B1859" s="5" t="str">
        <f>HYPERLINK("http://www.broadinstitute.org/gsea/msigdb/cards/GOBP_ORGANIC_ACID_TRANSPORT.html","GOBP_ORGANIC_ACID_TRANSPORT")</f>
        <v>GOBP_ORGANIC_ACID_TRANSPORT</v>
      </c>
      <c r="C1859" s="4">
        <v>353</v>
      </c>
      <c r="D1859" s="3">
        <v>1.3951274</v>
      </c>
      <c r="E1859" s="1">
        <v>4.0376850000000001E-3</v>
      </c>
      <c r="F1859" s="2">
        <v>0.12329012</v>
      </c>
    </row>
    <row r="1860" spans="1:6" x14ac:dyDescent="0.25">
      <c r="A1860" t="s">
        <v>6</v>
      </c>
      <c r="B1860" s="5" t="str">
        <f>HYPERLINK("http://www.broadinstitute.org/gsea/msigdb/cards/GOBP_POSITIVE_REGULATION_OF_ERBB_SIGNALING_PATHWAY.html","GOBP_POSITIVE_REGULATION_OF_ERBB_SIGNALING_PATHWAY")</f>
        <v>GOBP_POSITIVE_REGULATION_OF_ERBB_SIGNALING_PATHWAY</v>
      </c>
      <c r="C1860" s="4">
        <v>25</v>
      </c>
      <c r="D1860" s="3">
        <v>1.3950615</v>
      </c>
      <c r="E1860" s="1">
        <v>8.2882880000000006E-2</v>
      </c>
      <c r="F1860" s="2">
        <v>0.12327504</v>
      </c>
    </row>
    <row r="1861" spans="1:6" x14ac:dyDescent="0.25">
      <c r="A1861" t="s">
        <v>6</v>
      </c>
      <c r="B1861" s="5" t="str">
        <f>HYPERLINK("http://www.broadinstitute.org/gsea/msigdb/cards/GOBP_ANDROGEN_METABOLIC_PROCESS.html","GOBP_ANDROGEN_METABOLIC_PROCESS")</f>
        <v>GOBP_ANDROGEN_METABOLIC_PROCESS</v>
      </c>
      <c r="C1861" s="4">
        <v>25</v>
      </c>
      <c r="D1861" s="3">
        <v>1.3945753999999999</v>
      </c>
      <c r="E1861" s="1">
        <v>7.6142130000000002E-2</v>
      </c>
      <c r="F1861" s="2">
        <v>0.12362051</v>
      </c>
    </row>
    <row r="1862" spans="1:6" x14ac:dyDescent="0.25">
      <c r="A1862" t="s">
        <v>6</v>
      </c>
      <c r="B1862" s="5" t="str">
        <f>HYPERLINK("http://www.broadinstitute.org/gsea/msigdb/cards/GOBP_CELL_CELL_ADHESION_VIA_PLASMA_MEMBRANE_ADHESION_MOLECULES.html","GOBP_CELL_CELL_ADHESION_VIA_PLASMA_MEMBRANE_ADHESION_MOLECULES")</f>
        <v>GOBP_CELL_CELL_ADHESION_VIA_PLASMA_MEMBRANE_ADHESION_MOLECULES</v>
      </c>
      <c r="C1862" s="4">
        <v>208</v>
      </c>
      <c r="D1862" s="3">
        <v>1.3938006999999999</v>
      </c>
      <c r="E1862" s="1">
        <v>8.1300810000000008E-3</v>
      </c>
      <c r="F1862" s="2">
        <v>0.124221556</v>
      </c>
    </row>
    <row r="1863" spans="1:6" x14ac:dyDescent="0.25">
      <c r="A1863" t="s">
        <v>6</v>
      </c>
      <c r="B1863" s="5" t="str">
        <f>HYPERLINK("http://www.broadinstitute.org/gsea/msigdb/cards/GOBP_REGULATION_OF_CYTOPLASMIC_TRANSLATION.html","GOBP_REGULATION_OF_CYTOPLASMIC_TRANSLATION")</f>
        <v>GOBP_REGULATION_OF_CYTOPLASMIC_TRANSLATION</v>
      </c>
      <c r="C1863" s="4">
        <v>31</v>
      </c>
      <c r="D1863" s="3">
        <v>1.3930255</v>
      </c>
      <c r="E1863" s="1">
        <v>7.2607264000000005E-2</v>
      </c>
      <c r="F1863" s="2">
        <v>0.124832995</v>
      </c>
    </row>
    <row r="1864" spans="1:6" x14ac:dyDescent="0.25">
      <c r="A1864" t="s">
        <v>6</v>
      </c>
      <c r="B1864" s="5" t="str">
        <f>HYPERLINK("http://www.broadinstitute.org/gsea/msigdb/cards/GOBP_REGULATION_OF_AUTOPHAGOSOME_ASSEMBLY.html","GOBP_REGULATION_OF_AUTOPHAGOSOME_ASSEMBLY")</f>
        <v>GOBP_REGULATION_OF_AUTOPHAGOSOME_ASSEMBLY</v>
      </c>
      <c r="C1864" s="4">
        <v>45</v>
      </c>
      <c r="D1864" s="3">
        <v>1.392722</v>
      </c>
      <c r="E1864" s="1">
        <v>4.6052629999999997E-2</v>
      </c>
      <c r="F1864" s="2">
        <v>0.12500452000000001</v>
      </c>
    </row>
    <row r="1865" spans="1:6" x14ac:dyDescent="0.25">
      <c r="A1865" t="s">
        <v>10</v>
      </c>
      <c r="B1865" s="5" t="str">
        <f>HYPERLINK("http://www.broadinstitute.org/gsea/msigdb/cards/REACTOME_PARACETAMOL_ADME.html","REACTOME_PARACETAMOL_ADME")</f>
        <v>REACTOME_PARACETAMOL_ADME</v>
      </c>
      <c r="C1865" s="4">
        <v>26</v>
      </c>
      <c r="D1865" s="3">
        <v>1.3925827</v>
      </c>
      <c r="E1865" s="1">
        <v>7.2758033999999999E-2</v>
      </c>
      <c r="F1865" s="2">
        <v>0.12507272</v>
      </c>
    </row>
    <row r="1866" spans="1:6" x14ac:dyDescent="0.25">
      <c r="A1866" t="s">
        <v>10</v>
      </c>
      <c r="B1866" s="5" t="str">
        <f>HYPERLINK("http://www.broadinstitute.org/gsea/msigdb/cards/REACTOME_G_ALPHA_Z_SIGNALLING_EVENTS.html","REACTOME_G_ALPHA_Z_SIGNALLING_EVENTS")</f>
        <v>REACTOME_G_ALPHA_Z_SIGNALLING_EVENTS</v>
      </c>
      <c r="C1866" s="4">
        <v>32</v>
      </c>
      <c r="D1866" s="3">
        <v>1.3923991</v>
      </c>
      <c r="E1866" s="1">
        <v>7.0325899999999997E-2</v>
      </c>
      <c r="F1866" s="2">
        <v>0.12515977</v>
      </c>
    </row>
    <row r="1867" spans="1:6" x14ac:dyDescent="0.25">
      <c r="A1867" t="s">
        <v>6</v>
      </c>
      <c r="B1867" s="5" t="str">
        <f>HYPERLINK("http://www.broadinstitute.org/gsea/msigdb/cards/GOBP_POSITIVE_REGULATION_OF_PHOSPHOPROTEIN_PHOSPHATASE_ACTIVITY.html","GOBP_POSITIVE_REGULATION_OF_PHOSPHOPROTEIN_PHOSPHATASE_ACTIVITY")</f>
        <v>GOBP_POSITIVE_REGULATION_OF_PHOSPHOPROTEIN_PHOSPHATASE_ACTIVITY</v>
      </c>
      <c r="C1867" s="4">
        <v>19</v>
      </c>
      <c r="D1867" s="3">
        <v>1.3919785</v>
      </c>
      <c r="E1867" s="1">
        <v>8.4033616000000005E-2</v>
      </c>
      <c r="F1867" s="2">
        <v>0.125472</v>
      </c>
    </row>
    <row r="1868" spans="1:6" x14ac:dyDescent="0.25">
      <c r="A1868" t="s">
        <v>6</v>
      </c>
      <c r="B1868" s="5" t="str">
        <f>HYPERLINK("http://www.broadinstitute.org/gsea/msigdb/cards/GOBP_RESPONSE_TO_PROSTAGLANDIN.html","GOBP_RESPONSE_TO_PROSTAGLANDIN")</f>
        <v>GOBP_RESPONSE_TO_PROSTAGLANDIN</v>
      </c>
      <c r="C1868" s="4">
        <v>26</v>
      </c>
      <c r="D1868" s="3">
        <v>1.3918694</v>
      </c>
      <c r="E1868" s="1">
        <v>8.2456139999999997E-2</v>
      </c>
      <c r="F1868" s="2">
        <v>0.12549065000000001</v>
      </c>
    </row>
    <row r="1869" spans="1:6" x14ac:dyDescent="0.25">
      <c r="A1869" t="s">
        <v>6</v>
      </c>
      <c r="B1869" s="5" t="str">
        <f>HYPERLINK("http://www.broadinstitute.org/gsea/msigdb/cards/GOBP_NEGATIVE_REGULATION_OF_NF_KAPPAB_TRANSCRIPTION_FACTOR_ACTIVITY.html","GOBP_NEGATIVE_REGULATION_OF_NF_KAPPAB_TRANSCRIPTION_FACTOR_ACTIVITY")</f>
        <v>GOBP_NEGATIVE_REGULATION_OF_NF_KAPPAB_TRANSCRIPTION_FACTOR_ACTIVITY</v>
      </c>
      <c r="C1869" s="4">
        <v>80</v>
      </c>
      <c r="D1869" s="3">
        <v>1.3913625000000001</v>
      </c>
      <c r="E1869" s="1">
        <v>4.4233806000000001E-2</v>
      </c>
      <c r="F1869" s="2">
        <v>0.12587275000000001</v>
      </c>
    </row>
    <row r="1870" spans="1:6" x14ac:dyDescent="0.25">
      <c r="A1870" t="s">
        <v>6</v>
      </c>
      <c r="B1870" s="5" t="str">
        <f>HYPERLINK("http://www.broadinstitute.org/gsea/msigdb/cards/GOBP_NEGATIVE_REGULATION_OF_SYSTEMIC_ARTERIAL_BLOOD_PRESSURE.html","GOBP_NEGATIVE_REGULATION_OF_SYSTEMIC_ARTERIAL_BLOOD_PRESSURE")</f>
        <v>GOBP_NEGATIVE_REGULATION_OF_SYSTEMIC_ARTERIAL_BLOOD_PRESSURE</v>
      </c>
      <c r="C1870" s="4">
        <v>30</v>
      </c>
      <c r="D1870" s="3">
        <v>1.3913376</v>
      </c>
      <c r="E1870" s="1">
        <v>8.9403969999999999E-2</v>
      </c>
      <c r="F1870" s="2">
        <v>0.12582568999999999</v>
      </c>
    </row>
    <row r="1871" spans="1:6" x14ac:dyDescent="0.25">
      <c r="A1871" t="s">
        <v>6</v>
      </c>
      <c r="B1871" s="5" t="str">
        <f>HYPERLINK("http://www.broadinstitute.org/gsea/msigdb/cards/GOBP_PROSTANOID_BIOSYNTHETIC_PROCESS.html","GOBP_PROSTANOID_BIOSYNTHETIC_PROCESS")</f>
        <v>GOBP_PROSTANOID_BIOSYNTHETIC_PROCESS</v>
      </c>
      <c r="C1871" s="4">
        <v>30</v>
      </c>
      <c r="D1871" s="3">
        <v>1.3913291999999999</v>
      </c>
      <c r="E1871" s="1">
        <v>6.456953E-2</v>
      </c>
      <c r="F1871" s="2">
        <v>0.12576471</v>
      </c>
    </row>
    <row r="1872" spans="1:6" x14ac:dyDescent="0.25">
      <c r="A1872" t="s">
        <v>5</v>
      </c>
      <c r="B1872" s="5" t="str">
        <f>HYPERLINK("http://www.broadinstitute.org/gsea/msigdb/cards/BIOCARTA_ARENRF2_PATHWAY.html","BIOCARTA_ARENRF2_PATHWAY")</f>
        <v>BIOCARTA_ARENRF2_PATHWAY</v>
      </c>
      <c r="C1872" s="4">
        <v>19</v>
      </c>
      <c r="D1872" s="3">
        <v>1.3908468</v>
      </c>
      <c r="E1872" s="1">
        <v>9.3220339999999999E-2</v>
      </c>
      <c r="F1872" s="2">
        <v>0.1261333</v>
      </c>
    </row>
    <row r="1873" spans="1:6" x14ac:dyDescent="0.25">
      <c r="A1873" t="s">
        <v>10</v>
      </c>
      <c r="B1873" s="5" t="str">
        <f>HYPERLINK("http://www.broadinstitute.org/gsea/msigdb/cards/REACTOME_AZATHIOPRINE_ADME.html","REACTOME_AZATHIOPRINE_ADME")</f>
        <v>REACTOME_AZATHIOPRINE_ADME</v>
      </c>
      <c r="C1873" s="4">
        <v>26</v>
      </c>
      <c r="D1873" s="3">
        <v>1.3904468000000001</v>
      </c>
      <c r="E1873" s="1">
        <v>6.774194E-2</v>
      </c>
      <c r="F1873" s="2">
        <v>0.12641810000000001</v>
      </c>
    </row>
    <row r="1874" spans="1:6" x14ac:dyDescent="0.25">
      <c r="A1874" t="s">
        <v>6</v>
      </c>
      <c r="B1874" s="5" t="str">
        <f>HYPERLINK("http://www.broadinstitute.org/gsea/msigdb/cards/GOBP_CELLULAR_RESPONSE_TO_INSULIN_STIMULUS.html","GOBP_CELLULAR_RESPONSE_TO_INSULIN_STIMULUS")</f>
        <v>GOBP_CELLULAR_RESPONSE_TO_INSULIN_STIMULUS</v>
      </c>
      <c r="C1874" s="4">
        <v>214</v>
      </c>
      <c r="D1874" s="3">
        <v>1.3902032</v>
      </c>
      <c r="E1874" s="1">
        <v>6.9444444999999999E-3</v>
      </c>
      <c r="F1874" s="2">
        <v>0.12655437999999999</v>
      </c>
    </row>
    <row r="1875" spans="1:6" x14ac:dyDescent="0.25">
      <c r="A1875" t="s">
        <v>6</v>
      </c>
      <c r="B1875" s="5" t="str">
        <f>HYPERLINK("http://www.broadinstitute.org/gsea/msigdb/cards/GOBP_CGMP_METABOLIC_PROCESS.html","GOBP_CGMP_METABOLIC_PROCESS")</f>
        <v>GOBP_CGMP_METABOLIC_PROCESS</v>
      </c>
      <c r="C1875" s="4">
        <v>17</v>
      </c>
      <c r="D1875" s="3">
        <v>1.3899884</v>
      </c>
      <c r="E1875" s="1">
        <v>8.1521739999999995E-2</v>
      </c>
      <c r="F1875" s="2">
        <v>0.12666585999999999</v>
      </c>
    </row>
    <row r="1876" spans="1:6" x14ac:dyDescent="0.25">
      <c r="A1876" t="s">
        <v>6</v>
      </c>
      <c r="B1876" s="5" t="str">
        <f>HYPERLINK("http://www.broadinstitute.org/gsea/msigdb/cards/GOBP_G_PROTEIN_COUPLED_RECEPTOR_INTERNALIZATION.html","GOBP_G_PROTEIN_COUPLED_RECEPTOR_INTERNALIZATION")</f>
        <v>GOBP_G_PROTEIN_COUPLED_RECEPTOR_INTERNALIZATION</v>
      </c>
      <c r="C1876" s="4">
        <v>19</v>
      </c>
      <c r="D1876" s="3">
        <v>1.389921</v>
      </c>
      <c r="E1876" s="1">
        <v>7.8397214000000007E-2</v>
      </c>
      <c r="F1876" s="2">
        <v>0.12666883000000001</v>
      </c>
    </row>
    <row r="1877" spans="1:6" x14ac:dyDescent="0.25">
      <c r="A1877" t="s">
        <v>8</v>
      </c>
      <c r="B1877" s="5" t="str">
        <f>HYPERLINK("http://www.broadinstitute.org/gsea/msigdb/cards/GOMF_MONOCARBOXYLIC_ACID_TRANSMEMBRANE_TRANSPORTER_ACTIVITY.html","GOMF_MONOCARBOXYLIC_ACID_TRANSMEMBRANE_TRANSPORTER_ACTIVITY")</f>
        <v>GOMF_MONOCARBOXYLIC_ACID_TRANSMEMBRANE_TRANSPORTER_ACTIVITY</v>
      </c>
      <c r="C1877" s="4">
        <v>61</v>
      </c>
      <c r="D1877" s="3">
        <v>1.3890903999999999</v>
      </c>
      <c r="E1877" s="1">
        <v>3.9024389999999999E-2</v>
      </c>
      <c r="F1877" s="2">
        <v>0.12735176000000001</v>
      </c>
    </row>
    <row r="1878" spans="1:6" x14ac:dyDescent="0.25">
      <c r="A1878" t="s">
        <v>10</v>
      </c>
      <c r="B1878" s="5" t="str">
        <f>HYPERLINK("http://www.broadinstitute.org/gsea/msigdb/cards/REACTOME_PLASMA_LIPOPROTEIN_CLEARANCE.html","REACTOME_PLASMA_LIPOPROTEIN_CLEARANCE")</f>
        <v>REACTOME_PLASMA_LIPOPROTEIN_CLEARANCE</v>
      </c>
      <c r="C1878" s="4">
        <v>34</v>
      </c>
      <c r="D1878" s="3">
        <v>1.3890202</v>
      </c>
      <c r="E1878" s="1">
        <v>6.4846420000000002E-2</v>
      </c>
      <c r="F1878" s="2">
        <v>0.12733749</v>
      </c>
    </row>
    <row r="1879" spans="1:6" x14ac:dyDescent="0.25">
      <c r="A1879" t="s">
        <v>6</v>
      </c>
      <c r="B1879" s="5" t="str">
        <f>HYPERLINK("http://www.broadinstitute.org/gsea/msigdb/cards/GOBP_BONE_DEVELOPMENT.html","GOBP_BONE_DEVELOPMENT")</f>
        <v>GOBP_BONE_DEVELOPMENT</v>
      </c>
      <c r="C1879" s="4">
        <v>231</v>
      </c>
      <c r="D1879" s="3">
        <v>1.3882045000000001</v>
      </c>
      <c r="E1879" s="1">
        <v>9.4850950000000007E-3</v>
      </c>
      <c r="F1879" s="2">
        <v>0.12799637</v>
      </c>
    </row>
    <row r="1880" spans="1:6" x14ac:dyDescent="0.25">
      <c r="A1880" t="s">
        <v>6</v>
      </c>
      <c r="B1880" s="5" t="str">
        <f>HYPERLINK("http://www.broadinstitute.org/gsea/msigdb/cards/GOBP_PURINE_NUCLEOSIDE_MONOPHOSPHATE_BIOSYNTHETIC_PROCESS.html","GOBP_PURINE_NUCLEOSIDE_MONOPHOSPHATE_BIOSYNTHETIC_PROCESS")</f>
        <v>GOBP_PURINE_NUCLEOSIDE_MONOPHOSPHATE_BIOSYNTHETIC_PROCESS</v>
      </c>
      <c r="C1880" s="4">
        <v>25</v>
      </c>
      <c r="D1880" s="3">
        <v>1.3881220000000001</v>
      </c>
      <c r="E1880" s="1">
        <v>8.5814364000000004E-2</v>
      </c>
      <c r="F1880" s="2">
        <v>0.12799920000000001</v>
      </c>
    </row>
    <row r="1881" spans="1:6" x14ac:dyDescent="0.25">
      <c r="A1881" t="s">
        <v>6</v>
      </c>
      <c r="B1881" s="5" t="str">
        <f>HYPERLINK("http://www.broadinstitute.org/gsea/msigdb/cards/GOBP_POSITIVE_REGULATION_OF_MUSCLE_CONTRACTION.html","GOBP_POSITIVE_REGULATION_OF_MUSCLE_CONTRACTION")</f>
        <v>GOBP_POSITIVE_REGULATION_OF_MUSCLE_CONTRACTION</v>
      </c>
      <c r="C1881" s="4">
        <v>54</v>
      </c>
      <c r="D1881" s="3">
        <v>1.3878360000000001</v>
      </c>
      <c r="E1881" s="1">
        <v>4.1335452000000002E-2</v>
      </c>
      <c r="F1881" s="2">
        <v>0.12818350000000001</v>
      </c>
    </row>
    <row r="1882" spans="1:6" x14ac:dyDescent="0.25">
      <c r="A1882" t="s">
        <v>6</v>
      </c>
      <c r="B1882" s="5" t="str">
        <f>HYPERLINK("http://www.broadinstitute.org/gsea/msigdb/cards/GOBP_UNSATURATED_FATTY_ACID_BIOSYNTHETIC_PROCESS.html","GOBP_UNSATURATED_FATTY_ACID_BIOSYNTHETIC_PROCESS")</f>
        <v>GOBP_UNSATURATED_FATTY_ACID_BIOSYNTHETIC_PROCESS</v>
      </c>
      <c r="C1882" s="4">
        <v>41</v>
      </c>
      <c r="D1882" s="3">
        <v>1.3872772</v>
      </c>
      <c r="E1882" s="1">
        <v>5.8139536999999998E-2</v>
      </c>
      <c r="F1882" s="2">
        <v>0.12861732000000001</v>
      </c>
    </row>
    <row r="1883" spans="1:6" x14ac:dyDescent="0.25">
      <c r="A1883" t="s">
        <v>8</v>
      </c>
      <c r="B1883" s="5" t="str">
        <f>HYPERLINK("http://www.broadinstitute.org/gsea/msigdb/cards/GOMF_CALCIUM_DEPENDENT_CYSTEINE_TYPE_ENDOPEPTIDASE_ACTIVITY.html","GOMF_CALCIUM_DEPENDENT_CYSTEINE_TYPE_ENDOPEPTIDASE_ACTIVITY")</f>
        <v>GOMF_CALCIUM_DEPENDENT_CYSTEINE_TYPE_ENDOPEPTIDASE_ACTIVITY</v>
      </c>
      <c r="C1883" s="4">
        <v>15</v>
      </c>
      <c r="D1883" s="3">
        <v>1.387024</v>
      </c>
      <c r="E1883" s="1">
        <v>7.9279279999999994E-2</v>
      </c>
      <c r="F1883" s="2">
        <v>0.12876856</v>
      </c>
    </row>
    <row r="1884" spans="1:6" x14ac:dyDescent="0.25">
      <c r="A1884" t="s">
        <v>8</v>
      </c>
      <c r="B1884" s="5" t="str">
        <f>HYPERLINK("http://www.broadinstitute.org/gsea/msigdb/cards/GOMF_AMYLOID_BETA_BINDING.html","GOMF_AMYLOID_BETA_BINDING")</f>
        <v>GOMF_AMYLOID_BETA_BINDING</v>
      </c>
      <c r="C1884" s="4">
        <v>66</v>
      </c>
      <c r="D1884" s="3">
        <v>1.3868852</v>
      </c>
      <c r="E1884" s="1">
        <v>5.3124999999999999E-2</v>
      </c>
      <c r="F1884" s="2">
        <v>0.12881307</v>
      </c>
    </row>
    <row r="1885" spans="1:6" x14ac:dyDescent="0.25">
      <c r="A1885" t="s">
        <v>6</v>
      </c>
      <c r="B1885" s="5" t="str">
        <f>HYPERLINK("http://www.broadinstitute.org/gsea/msigdb/cards/GOBP_POSITIVE_REGULATION_OF_GLUCOSE_TRANSMEMBRANE_TRANSPORT.html","GOBP_POSITIVE_REGULATION_OF_GLUCOSE_TRANSMEMBRANE_TRANSPORT")</f>
        <v>GOBP_POSITIVE_REGULATION_OF_GLUCOSE_TRANSMEMBRANE_TRANSPORT</v>
      </c>
      <c r="C1885" s="4">
        <v>49</v>
      </c>
      <c r="D1885" s="3">
        <v>1.3866811999999999</v>
      </c>
      <c r="E1885" s="1">
        <v>4.0609135999999997E-2</v>
      </c>
      <c r="F1885" s="2">
        <v>0.12892587</v>
      </c>
    </row>
    <row r="1886" spans="1:6" x14ac:dyDescent="0.25">
      <c r="A1886" t="s">
        <v>8</v>
      </c>
      <c r="B1886" s="5" t="str">
        <f>HYPERLINK("http://www.broadinstitute.org/gsea/msigdb/cards/GOMF_CARBOXY_LYASE_ACTIVITY.html","GOMF_CARBOXY_LYASE_ACTIVITY")</f>
        <v>GOMF_CARBOXY_LYASE_ACTIVITY</v>
      </c>
      <c r="C1886" s="4">
        <v>33</v>
      </c>
      <c r="D1886" s="3">
        <v>1.3865818000000001</v>
      </c>
      <c r="E1886" s="1">
        <v>7.6799999999999993E-2</v>
      </c>
      <c r="F1886" s="2">
        <v>0.12895912000000001</v>
      </c>
    </row>
    <row r="1887" spans="1:6" x14ac:dyDescent="0.25">
      <c r="A1887" t="s">
        <v>6</v>
      </c>
      <c r="B1887" s="5" t="str">
        <f>HYPERLINK("http://www.broadinstitute.org/gsea/msigdb/cards/GOBP_PYRIMIDINE_RIBONUCLEOTIDE_BIOSYNTHETIC_PROCESS.html","GOBP_PYRIMIDINE_RIBONUCLEOTIDE_BIOSYNTHETIC_PROCESS")</f>
        <v>GOBP_PYRIMIDINE_RIBONUCLEOTIDE_BIOSYNTHETIC_PROCESS</v>
      </c>
      <c r="C1887" s="4">
        <v>18</v>
      </c>
      <c r="D1887" s="3">
        <v>1.3864409</v>
      </c>
      <c r="E1887" s="1">
        <v>0.10229277000000001</v>
      </c>
      <c r="F1887" s="2">
        <v>0.12900565999999999</v>
      </c>
    </row>
    <row r="1888" spans="1:6" x14ac:dyDescent="0.25">
      <c r="A1888" t="s">
        <v>6</v>
      </c>
      <c r="B1888" s="5" t="str">
        <f>HYPERLINK("http://www.broadinstitute.org/gsea/msigdb/cards/GOBP_GOLGI_LOCALIZATION.html","GOBP_GOLGI_LOCALIZATION")</f>
        <v>GOBP_GOLGI_LOCALIZATION</v>
      </c>
      <c r="C1888" s="4">
        <v>15</v>
      </c>
      <c r="D1888" s="3">
        <v>1.3859093</v>
      </c>
      <c r="E1888" s="1">
        <v>9.4405589999999998E-2</v>
      </c>
      <c r="F1888" s="2">
        <v>0.12940054000000001</v>
      </c>
    </row>
    <row r="1889" spans="1:6" x14ac:dyDescent="0.25">
      <c r="A1889" t="s">
        <v>6</v>
      </c>
      <c r="B1889" s="5" t="str">
        <f>HYPERLINK("http://www.broadinstitute.org/gsea/msigdb/cards/GOBP_REGULATION_OF_JNK_CASCADE.html","GOBP_REGULATION_OF_JNK_CASCADE")</f>
        <v>GOBP_REGULATION_OF_JNK_CASCADE</v>
      </c>
      <c r="C1889" s="4">
        <v>143</v>
      </c>
      <c r="D1889" s="3">
        <v>1.3853949000000001</v>
      </c>
      <c r="E1889" s="1">
        <v>2.8064992E-2</v>
      </c>
      <c r="F1889" s="2">
        <v>0.12979715</v>
      </c>
    </row>
    <row r="1890" spans="1:6" x14ac:dyDescent="0.25">
      <c r="A1890" t="s">
        <v>6</v>
      </c>
      <c r="B1890" s="5" t="str">
        <f>HYPERLINK("http://www.broadinstitute.org/gsea/msigdb/cards/GOBP_CEREBRAL_CORTEX_RADIALLY_ORIENTED_CELL_MIGRATION.html","GOBP_CEREBRAL_CORTEX_RADIALLY_ORIENTED_CELL_MIGRATION")</f>
        <v>GOBP_CEREBRAL_CORTEX_RADIALLY_ORIENTED_CELL_MIGRATION</v>
      </c>
      <c r="C1890" s="4">
        <v>40</v>
      </c>
      <c r="D1890" s="3">
        <v>1.3852534999999999</v>
      </c>
      <c r="E1890" s="1">
        <v>6.1666667000000001E-2</v>
      </c>
      <c r="F1890" s="2">
        <v>0.12985736000000001</v>
      </c>
    </row>
    <row r="1891" spans="1:6" x14ac:dyDescent="0.25">
      <c r="A1891" t="s">
        <v>6</v>
      </c>
      <c r="B1891" s="5" t="str">
        <f>HYPERLINK("http://www.broadinstitute.org/gsea/msigdb/cards/GOBP_CYCLIC_NUCLEOTIDE_MEDIATED_SIGNALING.html","GOBP_CYCLIC_NUCLEOTIDE_MEDIATED_SIGNALING")</f>
        <v>GOBP_CYCLIC_NUCLEOTIDE_MEDIATED_SIGNALING</v>
      </c>
      <c r="C1891" s="4">
        <v>91</v>
      </c>
      <c r="D1891" s="3">
        <v>1.3850789999999999</v>
      </c>
      <c r="E1891" s="1">
        <v>2.4653313999999999E-2</v>
      </c>
      <c r="F1891" s="2">
        <v>0.12992635</v>
      </c>
    </row>
    <row r="1892" spans="1:6" x14ac:dyDescent="0.25">
      <c r="A1892" t="s">
        <v>10</v>
      </c>
      <c r="B1892" s="5" t="str">
        <f>HYPERLINK("http://www.broadinstitute.org/gsea/msigdb/cards/REACTOME_INTERFERON_SIGNALING.html","REACTOME_INTERFERON_SIGNALING")</f>
        <v>REACTOME_INTERFERON_SIGNALING</v>
      </c>
      <c r="C1892" s="4">
        <v>124</v>
      </c>
      <c r="D1892" s="3">
        <v>1.3849465000000001</v>
      </c>
      <c r="E1892" s="1">
        <v>1.7699115000000001E-2</v>
      </c>
      <c r="F1892" s="2">
        <v>0.12997523999999999</v>
      </c>
    </row>
    <row r="1893" spans="1:6" x14ac:dyDescent="0.25">
      <c r="A1893" t="s">
        <v>6</v>
      </c>
      <c r="B1893" s="5" t="str">
        <f>HYPERLINK("http://www.broadinstitute.org/gsea/msigdb/cards/GOBP_CELLULAR_RESPONSE_TO_HEAT.html","GOBP_CELLULAR_RESPONSE_TO_HEAT")</f>
        <v>GOBP_CELLULAR_RESPONSE_TO_HEAT</v>
      </c>
      <c r="C1893" s="4">
        <v>51</v>
      </c>
      <c r="D1893" s="3">
        <v>1.3846301999999999</v>
      </c>
      <c r="E1893" s="1">
        <v>4.1666667999999997E-2</v>
      </c>
      <c r="F1893" s="2">
        <v>0.13019723999999999</v>
      </c>
    </row>
    <row r="1894" spans="1:6" x14ac:dyDescent="0.25">
      <c r="A1894" t="s">
        <v>6</v>
      </c>
      <c r="B1894" s="5" t="str">
        <f>HYPERLINK("http://www.broadinstitute.org/gsea/msigdb/cards/GOBP_REGULATION_OF_CELLULAR_RESPONSE_TO_TRANSFORMING_GROWTH_FACTOR_BETA_STIMULUS.html","GOBP_REGULATION_OF_CELLULAR_RESPONSE_TO_TRANSFORMING_GROWTH_FACTOR_BETA_STIMULUS")</f>
        <v>GOBP_REGULATION_OF_CELLULAR_RESPONSE_TO_TRANSFORMING_GROWTH_FACTOR_BETA_STIMULUS</v>
      </c>
      <c r="C1894" s="4">
        <v>143</v>
      </c>
      <c r="D1894" s="3">
        <v>1.3845042000000001</v>
      </c>
      <c r="E1894" s="1">
        <v>1.8072287999999999E-2</v>
      </c>
      <c r="F1894" s="2">
        <v>0.13024126</v>
      </c>
    </row>
    <row r="1895" spans="1:6" x14ac:dyDescent="0.25">
      <c r="A1895" t="s">
        <v>6</v>
      </c>
      <c r="B1895" s="5" t="str">
        <f>HYPERLINK("http://www.broadinstitute.org/gsea/msigdb/cards/GOBP_NEGATIVE_REGULATION_OF_ACTIN_FILAMENT_DEPOLYMERIZATION.html","GOBP_NEGATIVE_REGULATION_OF_ACTIN_FILAMENT_DEPOLYMERIZATION")</f>
        <v>GOBP_NEGATIVE_REGULATION_OF_ACTIN_FILAMENT_DEPOLYMERIZATION</v>
      </c>
      <c r="C1895" s="4">
        <v>46</v>
      </c>
      <c r="D1895" s="3">
        <v>1.3844243000000001</v>
      </c>
      <c r="E1895" s="1">
        <v>5.5462184999999997E-2</v>
      </c>
      <c r="F1895" s="2">
        <v>0.13024051</v>
      </c>
    </row>
    <row r="1896" spans="1:6" x14ac:dyDescent="0.25">
      <c r="A1896" t="s">
        <v>6</v>
      </c>
      <c r="B1896" s="5" t="str">
        <f>HYPERLINK("http://www.broadinstitute.org/gsea/msigdb/cards/GOBP_NEGATIVE_REGULATION_OF_CELL_JUNCTION_ASSEMBLY.html","GOBP_NEGATIVE_REGULATION_OF_CELL_JUNCTION_ASSEMBLY")</f>
        <v>GOBP_NEGATIVE_REGULATION_OF_CELL_JUNCTION_ASSEMBLY</v>
      </c>
      <c r="C1896" s="4">
        <v>35</v>
      </c>
      <c r="D1896" s="3">
        <v>1.3843489</v>
      </c>
      <c r="E1896" s="1">
        <v>6.5767290000000006E-2</v>
      </c>
      <c r="F1896" s="2">
        <v>0.13024723999999999</v>
      </c>
    </row>
    <row r="1897" spans="1:6" x14ac:dyDescent="0.25">
      <c r="A1897" t="s">
        <v>7</v>
      </c>
      <c r="B1897" s="5" t="str">
        <f>HYPERLINK("http://www.broadinstitute.org/gsea/msigdb/cards/GOCC_CLATHRIN_COAT.html","GOCC_CLATHRIN_COAT")</f>
        <v>GOCC_CLATHRIN_COAT</v>
      </c>
      <c r="C1897" s="4">
        <v>51</v>
      </c>
      <c r="D1897" s="3">
        <v>1.3843095000000001</v>
      </c>
      <c r="E1897" s="1">
        <v>6.9952299999999995E-2</v>
      </c>
      <c r="F1897" s="2">
        <v>0.13021273999999999</v>
      </c>
    </row>
    <row r="1898" spans="1:6" x14ac:dyDescent="0.25">
      <c r="A1898" t="s">
        <v>6</v>
      </c>
      <c r="B1898" s="5" t="str">
        <f>HYPERLINK("http://www.broadinstitute.org/gsea/msigdb/cards/GOBP_PROTEIN_MATURATION.html","GOBP_PROTEIN_MATURATION")</f>
        <v>GOBP_PROTEIN_MATURATION</v>
      </c>
      <c r="C1898" s="4">
        <v>495</v>
      </c>
      <c r="D1898" s="3">
        <v>1.3842432</v>
      </c>
      <c r="E1898" s="1">
        <v>1.2135922E-3</v>
      </c>
      <c r="F1898" s="2">
        <v>0.13020808</v>
      </c>
    </row>
    <row r="1899" spans="1:6" x14ac:dyDescent="0.25">
      <c r="A1899" t="s">
        <v>6</v>
      </c>
      <c r="B1899" s="5" t="str">
        <f>HYPERLINK("http://www.broadinstitute.org/gsea/msigdb/cards/GOBP_NEGATIVE_REGULATION_OF_HYDROLASE_ACTIVITY.html","GOBP_NEGATIVE_REGULATION_OF_HYDROLASE_ACTIVITY")</f>
        <v>GOBP_NEGATIVE_REGULATION_OF_HYDROLASE_ACTIVITY</v>
      </c>
      <c r="C1899" s="4">
        <v>324</v>
      </c>
      <c r="D1899" s="3">
        <v>1.3840771999999999</v>
      </c>
      <c r="E1899" s="1">
        <v>6.6312999999999997E-3</v>
      </c>
      <c r="F1899" s="2">
        <v>0.13029023000000001</v>
      </c>
    </row>
    <row r="1900" spans="1:6" x14ac:dyDescent="0.25">
      <c r="A1900" t="s">
        <v>10</v>
      </c>
      <c r="B1900" s="5" t="str">
        <f>HYPERLINK("http://www.broadinstitute.org/gsea/msigdb/cards/REACTOME_NEGATIVE_REGULATION_OF_FGFR2_SIGNALING.html","REACTOME_NEGATIVE_REGULATION_OF_FGFR2_SIGNALING")</f>
        <v>REACTOME_NEGATIVE_REGULATION_OF_FGFR2_SIGNALING</v>
      </c>
      <c r="C1900" s="4">
        <v>33</v>
      </c>
      <c r="D1900" s="3">
        <v>1.3837869</v>
      </c>
      <c r="E1900" s="1">
        <v>8.1218269999999995E-2</v>
      </c>
      <c r="F1900" s="2">
        <v>0.13048694999999999</v>
      </c>
    </row>
    <row r="1901" spans="1:6" x14ac:dyDescent="0.25">
      <c r="A1901" t="s">
        <v>6</v>
      </c>
      <c r="B1901" s="5" t="str">
        <f>HYPERLINK("http://www.broadinstitute.org/gsea/msigdb/cards/GOBP_CARDIAC_LEFT_VENTRICLE_MORPHOGENESIS.html","GOBP_CARDIAC_LEFT_VENTRICLE_MORPHOGENESIS")</f>
        <v>GOBP_CARDIAC_LEFT_VENTRICLE_MORPHOGENESIS</v>
      </c>
      <c r="C1901" s="4">
        <v>20</v>
      </c>
      <c r="D1901" s="3">
        <v>1.3833610000000001</v>
      </c>
      <c r="E1901" s="1">
        <v>9.390445E-2</v>
      </c>
      <c r="F1901" s="2">
        <v>0.13079128000000001</v>
      </c>
    </row>
    <row r="1902" spans="1:6" x14ac:dyDescent="0.25">
      <c r="A1902" t="s">
        <v>6</v>
      </c>
      <c r="B1902" s="5" t="str">
        <f>HYPERLINK("http://www.broadinstitute.org/gsea/msigdb/cards/GOBP_ENDOTHELIAL_CELL_CHEMOTAXIS.html","GOBP_ENDOTHELIAL_CELL_CHEMOTAXIS")</f>
        <v>GOBP_ENDOTHELIAL_CELL_CHEMOTAXIS</v>
      </c>
      <c r="C1902" s="4">
        <v>31</v>
      </c>
      <c r="D1902" s="3">
        <v>1.3829616</v>
      </c>
      <c r="E1902" s="1">
        <v>9.2257000000000006E-2</v>
      </c>
      <c r="F1902" s="2">
        <v>0.13108520000000001</v>
      </c>
    </row>
    <row r="1903" spans="1:6" x14ac:dyDescent="0.25">
      <c r="A1903" t="s">
        <v>8</v>
      </c>
      <c r="B1903" s="5" t="str">
        <f>HYPERLINK("http://www.broadinstitute.org/gsea/msigdb/cards/GOMF_ACTIN_FILAMENT_BINDING.html","GOMF_ACTIN_FILAMENT_BINDING")</f>
        <v>GOMF_ACTIN_FILAMENT_BINDING</v>
      </c>
      <c r="C1903" s="4">
        <v>214</v>
      </c>
      <c r="D1903" s="3">
        <v>1.3828657</v>
      </c>
      <c r="E1903" s="1">
        <v>8.3798889999999997E-3</v>
      </c>
      <c r="F1903" s="2">
        <v>0.13109499999999999</v>
      </c>
    </row>
    <row r="1904" spans="1:6" x14ac:dyDescent="0.25">
      <c r="A1904" t="s">
        <v>6</v>
      </c>
      <c r="B1904" s="5" t="str">
        <f>HYPERLINK("http://www.broadinstitute.org/gsea/msigdb/cards/GOBP_CELL_CELL_JUNCTION_ASSEMBLY.html","GOBP_CELL_CELL_JUNCTION_ASSEMBLY")</f>
        <v>GOBP_CELL_CELL_JUNCTION_ASSEMBLY</v>
      </c>
      <c r="C1904" s="4">
        <v>151</v>
      </c>
      <c r="D1904" s="3">
        <v>1.3824713</v>
      </c>
      <c r="E1904" s="1">
        <v>2.0057306E-2</v>
      </c>
      <c r="F1904" s="2">
        <v>0.1313782</v>
      </c>
    </row>
    <row r="1905" spans="1:6" x14ac:dyDescent="0.25">
      <c r="A1905" t="s">
        <v>6</v>
      </c>
      <c r="B1905" s="5" t="str">
        <f>HYPERLINK("http://www.broadinstitute.org/gsea/msigdb/cards/GOBP_OLIGOSACCHARIDE_BIOSYNTHETIC_PROCESS.html","GOBP_OLIGOSACCHARIDE_BIOSYNTHETIC_PROCESS")</f>
        <v>GOBP_OLIGOSACCHARIDE_BIOSYNTHETIC_PROCESS</v>
      </c>
      <c r="C1905" s="4">
        <v>19</v>
      </c>
      <c r="D1905" s="3">
        <v>1.3823341</v>
      </c>
      <c r="E1905" s="1">
        <v>8.6655109999999994E-2</v>
      </c>
      <c r="F1905" s="2">
        <v>0.13143553999999999</v>
      </c>
    </row>
    <row r="1906" spans="1:6" x14ac:dyDescent="0.25">
      <c r="A1906" t="s">
        <v>8</v>
      </c>
      <c r="B1906" s="5" t="str">
        <f>HYPERLINK("http://www.broadinstitute.org/gsea/msigdb/cards/GOMF_GTPASE_ACTIVATING_PROTEIN_BINDING.html","GOMF_GTPASE_ACTIVATING_PROTEIN_BINDING")</f>
        <v>GOMF_GTPASE_ACTIVATING_PROTEIN_BINDING</v>
      </c>
      <c r="C1906" s="4">
        <v>20</v>
      </c>
      <c r="D1906" s="3">
        <v>1.3820631999999999</v>
      </c>
      <c r="E1906" s="1">
        <v>8.6003369999999996E-2</v>
      </c>
      <c r="F1906" s="2">
        <v>0.13161186999999999</v>
      </c>
    </row>
    <row r="1907" spans="1:6" x14ac:dyDescent="0.25">
      <c r="A1907" t="s">
        <v>6</v>
      </c>
      <c r="B1907" s="5" t="str">
        <f>HYPERLINK("http://www.broadinstitute.org/gsea/msigdb/cards/GOBP_POSITIVE_REGULATION_OF_MONOATOMIC_ION_TRANSPORT.html","GOBP_POSITIVE_REGULATION_OF_MONOATOMIC_ION_TRANSPORT")</f>
        <v>GOBP_POSITIVE_REGULATION_OF_MONOATOMIC_ION_TRANSPORT</v>
      </c>
      <c r="C1907" s="4">
        <v>266</v>
      </c>
      <c r="D1907" s="3">
        <v>1.3817191</v>
      </c>
      <c r="E1907" s="1">
        <v>5.4347826999999998E-3</v>
      </c>
      <c r="F1907" s="2">
        <v>0.13186088000000001</v>
      </c>
    </row>
    <row r="1908" spans="1:6" x14ac:dyDescent="0.25">
      <c r="A1908" t="s">
        <v>7</v>
      </c>
      <c r="B1908" s="5" t="str">
        <f>HYPERLINK("http://www.broadinstitute.org/gsea/msigdb/cards/GOCC_ZYMOGEN_GRANULE.html","GOCC_ZYMOGEN_GRANULE")</f>
        <v>GOCC_ZYMOGEN_GRANULE</v>
      </c>
      <c r="C1908" s="4">
        <v>24</v>
      </c>
      <c r="D1908" s="3">
        <v>1.3815818</v>
      </c>
      <c r="E1908" s="1">
        <v>8.6572440000000001E-2</v>
      </c>
      <c r="F1908" s="2">
        <v>0.13190489999999999</v>
      </c>
    </row>
    <row r="1909" spans="1:6" x14ac:dyDescent="0.25">
      <c r="A1909" t="s">
        <v>6</v>
      </c>
      <c r="B1909" s="5" t="str">
        <f>HYPERLINK("http://www.broadinstitute.org/gsea/msigdb/cards/GOBP_BRANCHING_MORPHOGENESIS_OF_AN_EPITHELIAL_TUBE.html","GOBP_BRANCHING_MORPHOGENESIS_OF_AN_EPITHELIAL_TUBE")</f>
        <v>GOBP_BRANCHING_MORPHOGENESIS_OF_AN_EPITHELIAL_TUBE</v>
      </c>
      <c r="C1909" s="4">
        <v>194</v>
      </c>
      <c r="D1909" s="3">
        <v>1.3815039</v>
      </c>
      <c r="E1909" s="1">
        <v>2.2922636999999999E-2</v>
      </c>
      <c r="F1909" s="2">
        <v>0.13189714</v>
      </c>
    </row>
    <row r="1910" spans="1:6" x14ac:dyDescent="0.25">
      <c r="A1910" t="s">
        <v>8</v>
      </c>
      <c r="B1910" s="5" t="str">
        <f>HYPERLINK("http://www.broadinstitute.org/gsea/msigdb/cards/GOMF_OXIDOREDUCTASE_ACTIVITY_ACTING_ON_METAL_IONS.html","GOMF_OXIDOREDUCTASE_ACTIVITY_ACTING_ON_METAL_IONS")</f>
        <v>GOMF_OXIDOREDUCTASE_ACTIVITY_ACTING_ON_METAL_IONS</v>
      </c>
      <c r="C1910" s="4">
        <v>16</v>
      </c>
      <c r="D1910" s="3">
        <v>1.3812576999999999</v>
      </c>
      <c r="E1910" s="1">
        <v>9.6551724000000005E-2</v>
      </c>
      <c r="F1910" s="2">
        <v>0.13203213</v>
      </c>
    </row>
    <row r="1911" spans="1:6" x14ac:dyDescent="0.25">
      <c r="A1911" t="s">
        <v>6</v>
      </c>
      <c r="B1911" s="5" t="str">
        <f>HYPERLINK("http://www.broadinstitute.org/gsea/msigdb/cards/GOBP_CALCIUM_ION_TRANSPORT.html","GOBP_CALCIUM_ION_TRANSPORT")</f>
        <v>GOBP_CALCIUM_ION_TRANSPORT</v>
      </c>
      <c r="C1911" s="4">
        <v>446</v>
      </c>
      <c r="D1911" s="3">
        <v>1.3811367000000001</v>
      </c>
      <c r="E1911" s="1">
        <v>1.2771391999999999E-3</v>
      </c>
      <c r="F1911" s="2">
        <v>0.13207255000000001</v>
      </c>
    </row>
    <row r="1912" spans="1:6" x14ac:dyDescent="0.25">
      <c r="A1912" t="s">
        <v>8</v>
      </c>
      <c r="B1912" s="5" t="str">
        <f>HYPERLINK("http://www.broadinstitute.org/gsea/msigdb/cards/GOMF_BH_DOMAIN_BINDING.html","GOMF_BH_DOMAIN_BINDING")</f>
        <v>GOMF_BH_DOMAIN_BINDING</v>
      </c>
      <c r="C1912" s="4">
        <v>18</v>
      </c>
      <c r="D1912" s="3">
        <v>1.3798916000000001</v>
      </c>
      <c r="E1912" s="1">
        <v>8.8235300000000003E-2</v>
      </c>
      <c r="F1912" s="2">
        <v>0.133106</v>
      </c>
    </row>
    <row r="1913" spans="1:6" x14ac:dyDescent="0.25">
      <c r="A1913" t="s">
        <v>6</v>
      </c>
      <c r="B1913" s="5" t="str">
        <f>HYPERLINK("http://www.broadinstitute.org/gsea/msigdb/cards/GOBP_REGULATION_OF_CARDIAC_MUSCLE_CELL_ACTION_POTENTIAL.html","GOBP_REGULATION_OF_CARDIAC_MUSCLE_CELL_ACTION_POTENTIAL")</f>
        <v>GOBP_REGULATION_OF_CARDIAC_MUSCLE_CELL_ACTION_POTENTIAL</v>
      </c>
      <c r="C1913" s="4">
        <v>27</v>
      </c>
      <c r="D1913" s="3">
        <v>1.3790855</v>
      </c>
      <c r="E1913" s="1">
        <v>7.4503310000000003E-2</v>
      </c>
      <c r="F1913" s="2">
        <v>0.13376303</v>
      </c>
    </row>
    <row r="1914" spans="1:6" x14ac:dyDescent="0.25">
      <c r="A1914" t="s">
        <v>6</v>
      </c>
      <c r="B1914" s="5" t="str">
        <f>HYPERLINK("http://www.broadinstitute.org/gsea/msigdb/cards/GOBP_CELLULAR_RESPONSE_TO_FLUID_SHEAR_STRESS.html","GOBP_CELLULAR_RESPONSE_TO_FLUID_SHEAR_STRESS")</f>
        <v>GOBP_CELLULAR_RESPONSE_TO_FLUID_SHEAR_STRESS</v>
      </c>
      <c r="C1914" s="4">
        <v>17</v>
      </c>
      <c r="D1914" s="3">
        <v>1.3788301000000001</v>
      </c>
      <c r="E1914" s="1">
        <v>9.2624360000000003E-2</v>
      </c>
      <c r="F1914" s="2">
        <v>0.13392586000000001</v>
      </c>
    </row>
    <row r="1915" spans="1:6" x14ac:dyDescent="0.25">
      <c r="A1915" t="s">
        <v>6</v>
      </c>
      <c r="B1915" s="5" t="str">
        <f>HYPERLINK("http://www.broadinstitute.org/gsea/msigdb/cards/GOBP_PROTEIN_DEGLYCOSYLATION.html","GOBP_PROTEIN_DEGLYCOSYLATION")</f>
        <v>GOBP_PROTEIN_DEGLYCOSYLATION</v>
      </c>
      <c r="C1915" s="4">
        <v>15</v>
      </c>
      <c r="D1915" s="3">
        <v>1.3788227</v>
      </c>
      <c r="E1915" s="1">
        <v>0.10445205</v>
      </c>
      <c r="F1915" s="2">
        <v>0.13385805000000001</v>
      </c>
    </row>
    <row r="1916" spans="1:6" x14ac:dyDescent="0.25">
      <c r="A1916" t="s">
        <v>5</v>
      </c>
      <c r="B1916" s="5" t="str">
        <f>HYPERLINK("http://www.broadinstitute.org/gsea/msigdb/cards/BIOCARTA_INSULIN_PATHWAY.html","BIOCARTA_INSULIN_PATHWAY")</f>
        <v>BIOCARTA_INSULIN_PATHWAY</v>
      </c>
      <c r="C1916" s="4">
        <v>22</v>
      </c>
      <c r="D1916" s="3">
        <v>1.3786566</v>
      </c>
      <c r="E1916" s="1">
        <v>9.7770153999999998E-2</v>
      </c>
      <c r="F1916" s="2">
        <v>0.13395116000000001</v>
      </c>
    </row>
    <row r="1917" spans="1:6" x14ac:dyDescent="0.25">
      <c r="A1917" t="s">
        <v>6</v>
      </c>
      <c r="B1917" s="5" t="str">
        <f>HYPERLINK("http://www.broadinstitute.org/gsea/msigdb/cards/GOBP_REGULATION_OF_LIPID_LOCALIZATION.html","GOBP_REGULATION_OF_LIPID_LOCALIZATION")</f>
        <v>GOBP_REGULATION_OF_LIPID_LOCALIZATION</v>
      </c>
      <c r="C1917" s="4">
        <v>184</v>
      </c>
      <c r="D1917" s="3">
        <v>1.3780249</v>
      </c>
      <c r="E1917" s="1">
        <v>1.7804154999999999E-2</v>
      </c>
      <c r="F1917" s="2">
        <v>0.13447769000000001</v>
      </c>
    </row>
    <row r="1918" spans="1:6" x14ac:dyDescent="0.25">
      <c r="A1918" t="s">
        <v>6</v>
      </c>
      <c r="B1918" s="5" t="str">
        <f>HYPERLINK("http://www.broadinstitute.org/gsea/msigdb/cards/GOBP_STEROID_HORMONE_SECRETION.html","GOBP_STEROID_HORMONE_SECRETION")</f>
        <v>GOBP_STEROID_HORMONE_SECRETION</v>
      </c>
      <c r="C1918" s="4">
        <v>31</v>
      </c>
      <c r="D1918" s="3">
        <v>1.3775989</v>
      </c>
      <c r="E1918" s="1">
        <v>7.5163400000000005E-2</v>
      </c>
      <c r="F1918" s="2">
        <v>0.13479951000000001</v>
      </c>
    </row>
    <row r="1919" spans="1:6" x14ac:dyDescent="0.25">
      <c r="A1919" t="s">
        <v>5</v>
      </c>
      <c r="B1919" s="5" t="str">
        <f>HYPERLINK("http://www.broadinstitute.org/gsea/msigdb/cards/BIOCARTA_INTEGRIN_PATHWAY.html","BIOCARTA_INTEGRIN_PATHWAY")</f>
        <v>BIOCARTA_INTEGRIN_PATHWAY</v>
      </c>
      <c r="C1919" s="4">
        <v>33</v>
      </c>
      <c r="D1919" s="3">
        <v>1.3768585</v>
      </c>
      <c r="E1919" s="1">
        <v>8.0858089999999994E-2</v>
      </c>
      <c r="F1919" s="2">
        <v>0.13541508999999999</v>
      </c>
    </row>
    <row r="1920" spans="1:6" x14ac:dyDescent="0.25">
      <c r="A1920" t="s">
        <v>6</v>
      </c>
      <c r="B1920" s="5" t="str">
        <f>HYPERLINK("http://www.broadinstitute.org/gsea/msigdb/cards/GOBP_LIPID_CATABOLIC_PROCESS.html","GOBP_LIPID_CATABOLIC_PROCESS")</f>
        <v>GOBP_LIPID_CATABOLIC_PROCESS</v>
      </c>
      <c r="C1920" s="4">
        <v>331</v>
      </c>
      <c r="D1920" s="3">
        <v>1.3766041</v>
      </c>
      <c r="E1920" s="1">
        <v>6.6489362999999999E-3</v>
      </c>
      <c r="F1920" s="2">
        <v>0.13557511999999999</v>
      </c>
    </row>
    <row r="1921" spans="1:6" x14ac:dyDescent="0.25">
      <c r="A1921" t="s">
        <v>6</v>
      </c>
      <c r="B1921" s="5" t="str">
        <f>HYPERLINK("http://www.broadinstitute.org/gsea/msigdb/cards/GOBP_ORGANIC_HYDROXY_COMPOUND_TRANSPORT.html","GOBP_ORGANIC_HYDROXY_COMPOUND_TRANSPORT")</f>
        <v>GOBP_ORGANIC_HYDROXY_COMPOUND_TRANSPORT</v>
      </c>
      <c r="C1921" s="4">
        <v>302</v>
      </c>
      <c r="D1921" s="3">
        <v>1.3765320000000001</v>
      </c>
      <c r="E1921" s="1">
        <v>1.055409E-2</v>
      </c>
      <c r="F1921" s="2">
        <v>0.13557775</v>
      </c>
    </row>
    <row r="1922" spans="1:6" x14ac:dyDescent="0.25">
      <c r="A1922" t="s">
        <v>7</v>
      </c>
      <c r="B1922" s="5" t="str">
        <f>HYPERLINK("http://www.broadinstitute.org/gsea/msigdb/cards/GOCC_ACTIN_BASED_CELL_PROJECTION.html","GOCC_ACTIN_BASED_CELL_PROJECTION")</f>
        <v>GOCC_ACTIN_BASED_CELL_PROJECTION</v>
      </c>
      <c r="C1922" s="4">
        <v>227</v>
      </c>
      <c r="D1922" s="3">
        <v>1.3764293999999999</v>
      </c>
      <c r="E1922" s="1">
        <v>8.498584E-3</v>
      </c>
      <c r="F1922" s="2">
        <v>0.13560922</v>
      </c>
    </row>
    <row r="1923" spans="1:6" x14ac:dyDescent="0.25">
      <c r="A1923" t="s">
        <v>6</v>
      </c>
      <c r="B1923" s="5" t="str">
        <f>HYPERLINK("http://www.broadinstitute.org/gsea/msigdb/cards/GOBP_ORGANIC_ANION_TRANSPORT.html","GOBP_ORGANIC_ANION_TRANSPORT")</f>
        <v>GOBP_ORGANIC_ANION_TRANSPORT</v>
      </c>
      <c r="C1923" s="4">
        <v>418</v>
      </c>
      <c r="D1923" s="3">
        <v>1.3762501</v>
      </c>
      <c r="E1923" s="1">
        <v>1.2853470000000001E-3</v>
      </c>
      <c r="F1923" s="2">
        <v>0.13568509000000001</v>
      </c>
    </row>
    <row r="1924" spans="1:6" x14ac:dyDescent="0.25">
      <c r="A1924" t="s">
        <v>6</v>
      </c>
      <c r="B1924" s="5" t="str">
        <f>HYPERLINK("http://www.broadinstitute.org/gsea/msigdb/cards/GOBP_PROTEIN_HOMOOLIGOMERIZATION.html","GOBP_PROTEIN_HOMOOLIGOMERIZATION")</f>
        <v>GOBP_PROTEIN_HOMOOLIGOMERIZATION</v>
      </c>
      <c r="C1924" s="4">
        <v>185</v>
      </c>
      <c r="D1924" s="3">
        <v>1.3756434</v>
      </c>
      <c r="E1924" s="1">
        <v>2.245509E-2</v>
      </c>
      <c r="F1924" s="2">
        <v>0.13618532999999999</v>
      </c>
    </row>
    <row r="1925" spans="1:6" x14ac:dyDescent="0.25">
      <c r="A1925" t="s">
        <v>6</v>
      </c>
      <c r="B1925" s="5" t="str">
        <f>HYPERLINK("http://www.broadinstitute.org/gsea/msigdb/cards/GOBP_INOSITOL_PHOSPHATE_METABOLIC_PROCESS.html","GOBP_INOSITOL_PHOSPHATE_METABOLIC_PROCESS")</f>
        <v>GOBP_INOSITOL_PHOSPHATE_METABOLIC_PROCESS</v>
      </c>
      <c r="C1925" s="4">
        <v>43</v>
      </c>
      <c r="D1925" s="3">
        <v>1.3755288999999999</v>
      </c>
      <c r="E1925" s="1">
        <v>6.0755335000000001E-2</v>
      </c>
      <c r="F1925" s="2">
        <v>0.13622387999999999</v>
      </c>
    </row>
    <row r="1926" spans="1:6" x14ac:dyDescent="0.25">
      <c r="A1926" t="s">
        <v>6</v>
      </c>
      <c r="B1926" s="5" t="str">
        <f>HYPERLINK("http://www.broadinstitute.org/gsea/msigdb/cards/GOBP_REGULATION_OF_PHOSPHOLIPASE_C_ACTIVITY.html","GOBP_REGULATION_OF_PHOSPHOLIPASE_C_ACTIVITY")</f>
        <v>GOBP_REGULATION_OF_PHOSPHOLIPASE_C_ACTIVITY</v>
      </c>
      <c r="C1926" s="4">
        <v>35</v>
      </c>
      <c r="D1926" s="3">
        <v>1.3743964</v>
      </c>
      <c r="E1926" s="1">
        <v>6.6889630000000005E-2</v>
      </c>
      <c r="F1926" s="2">
        <v>0.1372198</v>
      </c>
    </row>
    <row r="1927" spans="1:6" x14ac:dyDescent="0.25">
      <c r="A1927" t="s">
        <v>6</v>
      </c>
      <c r="B1927" s="5" t="str">
        <f>HYPERLINK("http://www.broadinstitute.org/gsea/msigdb/cards/GOBP_REGULATION_OF_BLOOD_CIRCULATION.html","GOBP_REGULATION_OF_BLOOD_CIRCULATION")</f>
        <v>GOBP_REGULATION_OF_BLOOD_CIRCULATION</v>
      </c>
      <c r="C1927" s="4">
        <v>264</v>
      </c>
      <c r="D1927" s="3">
        <v>1.3740791000000001</v>
      </c>
      <c r="E1927" s="1">
        <v>6.8399454000000002E-3</v>
      </c>
      <c r="F1927" s="2">
        <v>0.13743330000000001</v>
      </c>
    </row>
    <row r="1928" spans="1:6" x14ac:dyDescent="0.25">
      <c r="A1928" t="s">
        <v>10</v>
      </c>
      <c r="B1928" s="5" t="str">
        <f>HYPERLINK("http://www.broadinstitute.org/gsea/msigdb/cards/REACTOME_CD28_CO_STIMULATION.html","REACTOME_CD28_CO_STIMULATION")</f>
        <v>REACTOME_CD28_CO_STIMULATION</v>
      </c>
      <c r="C1928" s="4">
        <v>33</v>
      </c>
      <c r="D1928" s="3">
        <v>1.3740772000000001</v>
      </c>
      <c r="E1928" s="1">
        <v>7.3211310000000002E-2</v>
      </c>
      <c r="F1928" s="2">
        <v>0.13736303</v>
      </c>
    </row>
    <row r="1929" spans="1:6" x14ac:dyDescent="0.25">
      <c r="A1929" t="s">
        <v>6</v>
      </c>
      <c r="B1929" s="5" t="str">
        <f>HYPERLINK("http://www.broadinstitute.org/gsea/msigdb/cards/GOBP_NEGATIVE_REGULATION_OF_MAP_KINASE_ACTIVITY.html","GOBP_NEGATIVE_REGULATION_OF_MAP_KINASE_ACTIVITY")</f>
        <v>GOBP_NEGATIVE_REGULATION_OF_MAP_KINASE_ACTIVITY</v>
      </c>
      <c r="C1929" s="4">
        <v>58</v>
      </c>
      <c r="D1929" s="3">
        <v>1.373883</v>
      </c>
      <c r="E1929" s="1">
        <v>4.6128500000000003E-2</v>
      </c>
      <c r="F1929" s="2">
        <v>0.13747834</v>
      </c>
    </row>
    <row r="1930" spans="1:6" x14ac:dyDescent="0.25">
      <c r="A1930" t="s">
        <v>6</v>
      </c>
      <c r="B1930" s="5" t="str">
        <f>HYPERLINK("http://www.broadinstitute.org/gsea/msigdb/cards/GOBP_RETROGRADE_VESICLE_MEDIATED_TRANSPORT_GOLGI_TO_ENDOPLASMIC_RETICULUM.html","GOBP_RETROGRADE_VESICLE_MEDIATED_TRANSPORT_GOLGI_TO_ENDOPLASMIC_RETICULUM")</f>
        <v>GOBP_RETROGRADE_VESICLE_MEDIATED_TRANSPORT_GOLGI_TO_ENDOPLASMIC_RETICULUM</v>
      </c>
      <c r="C1930" s="4">
        <v>44</v>
      </c>
      <c r="D1930" s="3">
        <v>1.3737599</v>
      </c>
      <c r="E1930" s="1">
        <v>8.2408875000000006E-2</v>
      </c>
      <c r="F1930" s="2">
        <v>0.13752173000000001</v>
      </c>
    </row>
    <row r="1931" spans="1:6" x14ac:dyDescent="0.25">
      <c r="A1931" t="s">
        <v>6</v>
      </c>
      <c r="B1931" s="5" t="str">
        <f>HYPERLINK("http://www.broadinstitute.org/gsea/msigdb/cards/GOBP_REGULATION_OF_LIPID_TRANSPORT.html","GOBP_REGULATION_OF_LIPID_TRANSPORT")</f>
        <v>GOBP_REGULATION_OF_LIPID_TRANSPORT</v>
      </c>
      <c r="C1931" s="4">
        <v>153</v>
      </c>
      <c r="D1931" s="3">
        <v>1.3735691000000001</v>
      </c>
      <c r="E1931" s="1">
        <v>2.4853800999999998E-2</v>
      </c>
      <c r="F1931" s="2">
        <v>0.13760938</v>
      </c>
    </row>
    <row r="1932" spans="1:6" x14ac:dyDescent="0.25">
      <c r="A1932" t="s">
        <v>10</v>
      </c>
      <c r="B1932" s="5" t="str">
        <f>HYPERLINK("http://www.broadinstitute.org/gsea/msigdb/cards/REACTOME_EPH_EPHRIN_MEDIATED_REPULSION_OF_CELLS.html","REACTOME_EPH_EPHRIN_MEDIATED_REPULSION_OF_CELLS")</f>
        <v>REACTOME_EPH_EPHRIN_MEDIATED_REPULSION_OF_CELLS</v>
      </c>
      <c r="C1932" s="4">
        <v>34</v>
      </c>
      <c r="D1932" s="3">
        <v>1.3731924</v>
      </c>
      <c r="E1932" s="1">
        <v>8.3333335999999994E-2</v>
      </c>
      <c r="F1932" s="2">
        <v>0.13789815</v>
      </c>
    </row>
    <row r="1933" spans="1:6" x14ac:dyDescent="0.25">
      <c r="A1933" t="s">
        <v>6</v>
      </c>
      <c r="B1933" s="5" t="str">
        <f>HYPERLINK("http://www.broadinstitute.org/gsea/msigdb/cards/GOBP_ENDODERM_DEVELOPMENT.html","GOBP_ENDODERM_DEVELOPMENT")</f>
        <v>GOBP_ENDODERM_DEVELOPMENT</v>
      </c>
      <c r="C1933" s="4">
        <v>73</v>
      </c>
      <c r="D1933" s="3">
        <v>1.3728837</v>
      </c>
      <c r="E1933" s="1">
        <v>4.4684130000000002E-2</v>
      </c>
      <c r="F1933" s="2">
        <v>0.13812587000000001</v>
      </c>
    </row>
    <row r="1934" spans="1:6" x14ac:dyDescent="0.25">
      <c r="A1934" t="s">
        <v>6</v>
      </c>
      <c r="B1934" s="5" t="str">
        <f>HYPERLINK("http://www.broadinstitute.org/gsea/msigdb/cards/GOBP_ESTABLISHMENT_OF_ORGANELLE_LOCALIZATION.html","GOBP_ESTABLISHMENT_OF_ORGANELLE_LOCALIZATION")</f>
        <v>GOBP_ESTABLISHMENT_OF_ORGANELLE_LOCALIZATION</v>
      </c>
      <c r="C1934" s="4">
        <v>474</v>
      </c>
      <c r="D1934" s="3">
        <v>1.3727704000000001</v>
      </c>
      <c r="E1934" s="1">
        <v>2.5188915999999999E-3</v>
      </c>
      <c r="F1934" s="2">
        <v>0.13816932000000001</v>
      </c>
    </row>
    <row r="1935" spans="1:6" x14ac:dyDescent="0.25">
      <c r="A1935" t="s">
        <v>6</v>
      </c>
      <c r="B1935" s="5" t="str">
        <f>HYPERLINK("http://www.broadinstitute.org/gsea/msigdb/cards/GOBP_AMINO_SUGAR_CATABOLIC_PROCESS.html","GOBP_AMINO_SUGAR_CATABOLIC_PROCESS")</f>
        <v>GOBP_AMINO_SUGAR_CATABOLIC_PROCESS</v>
      </c>
      <c r="C1935" s="4">
        <v>19</v>
      </c>
      <c r="D1935" s="3">
        <v>1.3727387</v>
      </c>
      <c r="E1935" s="1">
        <v>0.10085470000000001</v>
      </c>
      <c r="F1935" s="2">
        <v>0.13813320000000001</v>
      </c>
    </row>
    <row r="1936" spans="1:6" x14ac:dyDescent="0.25">
      <c r="A1936" t="s">
        <v>10</v>
      </c>
      <c r="B1936" s="5" t="str">
        <f>HYPERLINK("http://www.broadinstitute.org/gsea/msigdb/cards/REACTOME_SYNTHESIS_OF_LEUKOTRIENES_LT_AND_EOXINS_EX.html","REACTOME_SYNTHESIS_OF_LEUKOTRIENES_LT_AND_EOXINS_EX")</f>
        <v>REACTOME_SYNTHESIS_OF_LEUKOTRIENES_LT_AND_EOXINS_EX</v>
      </c>
      <c r="C1936" s="4">
        <v>19</v>
      </c>
      <c r="D1936" s="3">
        <v>1.3726294999999999</v>
      </c>
      <c r="E1936" s="1">
        <v>8.1705150000000004E-2</v>
      </c>
      <c r="F1936" s="2">
        <v>0.13818005999999999</v>
      </c>
    </row>
    <row r="1937" spans="1:6" x14ac:dyDescent="0.25">
      <c r="A1937" t="s">
        <v>10</v>
      </c>
      <c r="B1937" s="5" t="str">
        <f>HYPERLINK("http://www.broadinstitute.org/gsea/msigdb/cards/REACTOME_CHONDROITIN_SULFATE_DERMATAN_SULFATE_METABOLISM.html","REACTOME_CHONDROITIN_SULFATE_DERMATAN_SULFATE_METABOLISM")</f>
        <v>REACTOME_CHONDROITIN_SULFATE_DERMATAN_SULFATE_METABOLISM</v>
      </c>
      <c r="C1937" s="4">
        <v>47</v>
      </c>
      <c r="D1937" s="3">
        <v>1.3721969000000001</v>
      </c>
      <c r="E1937" s="1">
        <v>6.1611372999999997E-2</v>
      </c>
      <c r="F1937" s="2">
        <v>0.13855201</v>
      </c>
    </row>
    <row r="1938" spans="1:6" x14ac:dyDescent="0.25">
      <c r="A1938" t="s">
        <v>6</v>
      </c>
      <c r="B1938" s="5" t="str">
        <f>HYPERLINK("http://www.broadinstitute.org/gsea/msigdb/cards/GOBP_NEGATIVE_REGULATION_OF_CATION_CHANNEL_ACTIVITY.html","GOBP_NEGATIVE_REGULATION_OF_CATION_CHANNEL_ACTIVITY")</f>
        <v>GOBP_NEGATIVE_REGULATION_OF_CATION_CHANNEL_ACTIVITY</v>
      </c>
      <c r="C1938" s="4">
        <v>43</v>
      </c>
      <c r="D1938" s="3">
        <v>1.3719113999999999</v>
      </c>
      <c r="E1938" s="1">
        <v>6.2394603999999999E-2</v>
      </c>
      <c r="F1938" s="2">
        <v>0.13875968999999999</v>
      </c>
    </row>
    <row r="1939" spans="1:6" x14ac:dyDescent="0.25">
      <c r="A1939" t="s">
        <v>7</v>
      </c>
      <c r="B1939" s="5" t="str">
        <f>HYPERLINK("http://www.broadinstitute.org/gsea/msigdb/cards/GOCC_GAP_JUNCTION.html","GOCC_GAP_JUNCTION")</f>
        <v>GOCC_GAP_JUNCTION</v>
      </c>
      <c r="C1939" s="4">
        <v>33</v>
      </c>
      <c r="D1939" s="3">
        <v>1.3710604</v>
      </c>
      <c r="E1939" s="1">
        <v>8.5803433999999998E-2</v>
      </c>
      <c r="F1939" s="2">
        <v>0.13949861999999999</v>
      </c>
    </row>
    <row r="1940" spans="1:6" x14ac:dyDescent="0.25">
      <c r="A1940" t="s">
        <v>10</v>
      </c>
      <c r="B1940" s="5" t="str">
        <f>HYPERLINK("http://www.broadinstitute.org/gsea/msigdb/cards/REACTOME_APOPTOTIC_EXECUTION_PHASE.html","REACTOME_APOPTOTIC_EXECUTION_PHASE")</f>
        <v>REACTOME_APOPTOTIC_EXECUTION_PHASE</v>
      </c>
      <c r="C1940" s="4">
        <v>49</v>
      </c>
      <c r="D1940" s="3">
        <v>1.3706402</v>
      </c>
      <c r="E1940" s="1">
        <v>7.120253E-2</v>
      </c>
      <c r="F1940" s="2">
        <v>0.13983657999999999</v>
      </c>
    </row>
    <row r="1941" spans="1:6" x14ac:dyDescent="0.25">
      <c r="A1941" t="s">
        <v>6</v>
      </c>
      <c r="B1941" s="5" t="str">
        <f>HYPERLINK("http://www.broadinstitute.org/gsea/msigdb/cards/GOBP_CELLULAR_RESPONSE_TO_EXTRACELLULAR_STIMULUS.html","GOBP_CELLULAR_RESPONSE_TO_EXTRACELLULAR_STIMULUS")</f>
        <v>GOBP_CELLULAR_RESPONSE_TO_EXTRACELLULAR_STIMULUS</v>
      </c>
      <c r="C1941" s="4">
        <v>254</v>
      </c>
      <c r="D1941" s="3">
        <v>1.3704050000000001</v>
      </c>
      <c r="E1941" s="1">
        <v>1.3661202000000001E-2</v>
      </c>
      <c r="F1941" s="2">
        <v>0.14000310999999999</v>
      </c>
    </row>
    <row r="1942" spans="1:6" x14ac:dyDescent="0.25">
      <c r="A1942" t="s">
        <v>6</v>
      </c>
      <c r="B1942" s="5" t="str">
        <f>HYPERLINK("http://www.broadinstitute.org/gsea/msigdb/cards/GOBP_ESTABLISHMENT_OF_PROTEIN_LOCALIZATION_TO_ENDOPLASMIC_RETICULUM.html","GOBP_ESTABLISHMENT_OF_PROTEIN_LOCALIZATION_TO_ENDOPLASMIC_RETICULUM")</f>
        <v>GOBP_ESTABLISHMENT_OF_PROTEIN_LOCALIZATION_TO_ENDOPLASMIC_RETICULUM</v>
      </c>
      <c r="C1942" s="4">
        <v>46</v>
      </c>
      <c r="D1942" s="3">
        <v>1.3703185</v>
      </c>
      <c r="E1942" s="1">
        <v>6.0064934E-2</v>
      </c>
      <c r="F1942" s="2">
        <v>0.14001134000000001</v>
      </c>
    </row>
    <row r="1943" spans="1:6" x14ac:dyDescent="0.25">
      <c r="A1943" t="s">
        <v>6</v>
      </c>
      <c r="B1943" s="5" t="str">
        <f>HYPERLINK("http://www.broadinstitute.org/gsea/msigdb/cards/GOBP_POSITIVE_REGULATION_OF_LIPID_LOCALIZATION.html","GOBP_POSITIVE_REGULATION_OF_LIPID_LOCALIZATION")</f>
        <v>GOBP_POSITIVE_REGULATION_OF_LIPID_LOCALIZATION</v>
      </c>
      <c r="C1943" s="4">
        <v>123</v>
      </c>
      <c r="D1943" s="3">
        <v>1.3702061999999999</v>
      </c>
      <c r="E1943" s="1">
        <v>1.9548871999999998E-2</v>
      </c>
      <c r="F1943" s="2">
        <v>0.14004025000000001</v>
      </c>
    </row>
    <row r="1944" spans="1:6" x14ac:dyDescent="0.25">
      <c r="A1944" t="s">
        <v>6</v>
      </c>
      <c r="B1944" s="5" t="str">
        <f>HYPERLINK("http://www.broadinstitute.org/gsea/msigdb/cards/GOBP_T_CELL_HOMEOSTASIS.html","GOBP_T_CELL_HOMEOSTASIS")</f>
        <v>GOBP_T_CELL_HOMEOSTASIS</v>
      </c>
      <c r="C1944" s="4">
        <v>55</v>
      </c>
      <c r="D1944" s="3">
        <v>1.3701581</v>
      </c>
      <c r="E1944" s="1">
        <v>4.2993629999999998E-2</v>
      </c>
      <c r="F1944" s="2">
        <v>0.14000826</v>
      </c>
    </row>
    <row r="1945" spans="1:6" x14ac:dyDescent="0.25">
      <c r="A1945" t="s">
        <v>6</v>
      </c>
      <c r="B1945" s="5" t="str">
        <f>HYPERLINK("http://www.broadinstitute.org/gsea/msigdb/cards/GOBP_LONG_CHAIN_FATTY_ACID_TRANSPORT.html","GOBP_LONG_CHAIN_FATTY_ACID_TRANSPORT")</f>
        <v>GOBP_LONG_CHAIN_FATTY_ACID_TRANSPORT</v>
      </c>
      <c r="C1945" s="4">
        <v>66</v>
      </c>
      <c r="D1945" s="3">
        <v>1.369964</v>
      </c>
      <c r="E1945" s="1">
        <v>5.0632913000000002E-2</v>
      </c>
      <c r="F1945" s="2">
        <v>0.14009959</v>
      </c>
    </row>
    <row r="1946" spans="1:6" x14ac:dyDescent="0.25">
      <c r="A1946" t="s">
        <v>6</v>
      </c>
      <c r="B1946" s="5" t="str">
        <f>HYPERLINK("http://www.broadinstitute.org/gsea/msigdb/cards/GOBP_REGULATION_OF_LIPID_METABOLIC_PROCESS.html","GOBP_REGULATION_OF_LIPID_METABOLIC_PROCESS")</f>
        <v>GOBP_REGULATION_OF_LIPID_METABOLIC_PROCESS</v>
      </c>
      <c r="C1946" s="4">
        <v>372</v>
      </c>
      <c r="D1946" s="3">
        <v>1.3696003999999999</v>
      </c>
      <c r="E1946" s="1">
        <v>7.6726344000000004E-3</v>
      </c>
      <c r="F1946" s="2">
        <v>0.14035628999999999</v>
      </c>
    </row>
    <row r="1947" spans="1:6" x14ac:dyDescent="0.25">
      <c r="A1947" t="s">
        <v>7</v>
      </c>
      <c r="B1947" s="5" t="str">
        <f>HYPERLINK("http://www.broadinstitute.org/gsea/msigdb/cards/GOCC_MITOCHONDRIA_ASSOCIATED_ENDOPLASMIC_RETICULUM_MEMBRANE.html","GOCC_MITOCHONDRIA_ASSOCIATED_ENDOPLASMIC_RETICULUM_MEMBRANE")</f>
        <v>GOCC_MITOCHONDRIA_ASSOCIATED_ENDOPLASMIC_RETICULUM_MEMBRANE</v>
      </c>
      <c r="C1947" s="4">
        <v>20</v>
      </c>
      <c r="D1947" s="3">
        <v>1.3693253000000001</v>
      </c>
      <c r="E1947" s="1">
        <v>9.5959600000000006E-2</v>
      </c>
      <c r="F1947" s="2">
        <v>0.14053969999999999</v>
      </c>
    </row>
    <row r="1948" spans="1:6" x14ac:dyDescent="0.25">
      <c r="A1948" t="s">
        <v>6</v>
      </c>
      <c r="B1948" s="5" t="str">
        <f>HYPERLINK("http://www.broadinstitute.org/gsea/msigdb/cards/GOBP_DETECTION_OF_TEMPERATURE_STIMULUS_INVOLVED_IN_SENSORY_PERCEPTION_OF_PAIN.html","GOBP_DETECTION_OF_TEMPERATURE_STIMULUS_INVOLVED_IN_SENSORY_PERCEPTION_OF_PAIN")</f>
        <v>GOBP_DETECTION_OF_TEMPERATURE_STIMULUS_INVOLVED_IN_SENSORY_PERCEPTION_OF_PAIN</v>
      </c>
      <c r="C1948" s="4">
        <v>23</v>
      </c>
      <c r="D1948" s="3">
        <v>1.3691557999999999</v>
      </c>
      <c r="E1948" s="1">
        <v>7.4918570000000004E-2</v>
      </c>
      <c r="F1948" s="2">
        <v>0.14062661000000001</v>
      </c>
    </row>
    <row r="1949" spans="1:6" x14ac:dyDescent="0.25">
      <c r="A1949" t="s">
        <v>6</v>
      </c>
      <c r="B1949" s="5" t="str">
        <f>HYPERLINK("http://www.broadinstitute.org/gsea/msigdb/cards/GOBP_RESPONSE_TO_AXON_INJURY.html","GOBP_RESPONSE_TO_AXON_INJURY")</f>
        <v>GOBP_RESPONSE_TO_AXON_INJURY</v>
      </c>
      <c r="C1949" s="4">
        <v>75</v>
      </c>
      <c r="D1949" s="3">
        <v>1.3691264000000001</v>
      </c>
      <c r="E1949" s="1">
        <v>4.1033436E-2</v>
      </c>
      <c r="F1949" s="2">
        <v>0.14058714999999999</v>
      </c>
    </row>
    <row r="1950" spans="1:6" x14ac:dyDescent="0.25">
      <c r="A1950" t="s">
        <v>10</v>
      </c>
      <c r="B1950" s="5" t="str">
        <f>HYPERLINK("http://www.broadinstitute.org/gsea/msigdb/cards/REACTOME_CD28_DEPENDENT_PI3K_AKT_SIGNALING.html","REACTOME_CD28_DEPENDENT_PI3K_AKT_SIGNALING")</f>
        <v>REACTOME_CD28_DEPENDENT_PI3K_AKT_SIGNALING</v>
      </c>
      <c r="C1950" s="4">
        <v>22</v>
      </c>
      <c r="D1950" s="3">
        <v>1.3690640999999999</v>
      </c>
      <c r="E1950" s="1">
        <v>8.783784E-2</v>
      </c>
      <c r="F1950" s="2">
        <v>0.14057507</v>
      </c>
    </row>
    <row r="1951" spans="1:6" x14ac:dyDescent="0.25">
      <c r="A1951" t="s">
        <v>6</v>
      </c>
      <c r="B1951" s="5" t="str">
        <f>HYPERLINK("http://www.broadinstitute.org/gsea/msigdb/cards/GOBP_FOREBRAIN_CELL_MIGRATION.html","GOBP_FOREBRAIN_CELL_MIGRATION")</f>
        <v>GOBP_FOREBRAIN_CELL_MIGRATION</v>
      </c>
      <c r="C1951" s="4">
        <v>71</v>
      </c>
      <c r="D1951" s="3">
        <v>1.3689471</v>
      </c>
      <c r="E1951" s="1">
        <v>3.9877299999999997E-2</v>
      </c>
      <c r="F1951" s="2">
        <v>0.14061630999999999</v>
      </c>
    </row>
    <row r="1952" spans="1:6" x14ac:dyDescent="0.25">
      <c r="A1952" t="s">
        <v>6</v>
      </c>
      <c r="B1952" s="5" t="str">
        <f>HYPERLINK("http://www.broadinstitute.org/gsea/msigdb/cards/GOBP_ERAD_PATHWAY.html","GOBP_ERAD_PATHWAY")</f>
        <v>GOBP_ERAD_PATHWAY</v>
      </c>
      <c r="C1952" s="4">
        <v>107</v>
      </c>
      <c r="D1952" s="3">
        <v>1.3683940000000001</v>
      </c>
      <c r="E1952" s="1">
        <v>3.3381710000000002E-2</v>
      </c>
      <c r="F1952" s="2">
        <v>0.14105418</v>
      </c>
    </row>
    <row r="1953" spans="1:6" x14ac:dyDescent="0.25">
      <c r="A1953" t="s">
        <v>6</v>
      </c>
      <c r="B1953" s="5" t="str">
        <f>HYPERLINK("http://www.broadinstitute.org/gsea/msigdb/cards/GOBP_REGULATION_OF_FATTY_ACID_METABOLIC_PROCESS.html","GOBP_REGULATION_OF_FATTY_ACID_METABOLIC_PROCESS")</f>
        <v>GOBP_REGULATION_OF_FATTY_ACID_METABOLIC_PROCESS</v>
      </c>
      <c r="C1953" s="4">
        <v>102</v>
      </c>
      <c r="D1953" s="3">
        <v>1.3680816</v>
      </c>
      <c r="E1953" s="1">
        <v>2.9585799999999999E-2</v>
      </c>
      <c r="F1953" s="2">
        <v>0.14128456</v>
      </c>
    </row>
    <row r="1954" spans="1:6" x14ac:dyDescent="0.25">
      <c r="A1954" t="s">
        <v>6</v>
      </c>
      <c r="B1954" s="5" t="str">
        <f>HYPERLINK("http://www.broadinstitute.org/gsea/msigdb/cards/GOBP_RETINA_VASCULATURE_DEVELOPMENT_IN_CAMERA_TYPE_EYE.html","GOBP_RETINA_VASCULATURE_DEVELOPMENT_IN_CAMERA_TYPE_EYE")</f>
        <v>GOBP_RETINA_VASCULATURE_DEVELOPMENT_IN_CAMERA_TYPE_EYE</v>
      </c>
      <c r="C1954" s="4">
        <v>22</v>
      </c>
      <c r="D1954" s="3">
        <v>1.3679763</v>
      </c>
      <c r="E1954" s="1">
        <v>9.6219935000000006E-2</v>
      </c>
      <c r="F1954" s="2">
        <v>0.14131144000000001</v>
      </c>
    </row>
    <row r="1955" spans="1:6" x14ac:dyDescent="0.25">
      <c r="A1955" t="s">
        <v>6</v>
      </c>
      <c r="B1955" s="5" t="str">
        <f>HYPERLINK("http://www.broadinstitute.org/gsea/msigdb/cards/GOBP_NICOTINAMIDE_NUCLEOTIDE_BIOSYNTHETIC_PROCESS.html","GOBP_NICOTINAMIDE_NUCLEOTIDE_BIOSYNTHETIC_PROCESS")</f>
        <v>GOBP_NICOTINAMIDE_NUCLEOTIDE_BIOSYNTHETIC_PROCESS</v>
      </c>
      <c r="C1955" s="4">
        <v>16</v>
      </c>
      <c r="D1955" s="3">
        <v>1.3679699000000001</v>
      </c>
      <c r="E1955" s="1">
        <v>0.121416524</v>
      </c>
      <c r="F1955" s="2">
        <v>0.14124407</v>
      </c>
    </row>
    <row r="1956" spans="1:6" x14ac:dyDescent="0.25">
      <c r="A1956" t="s">
        <v>6</v>
      </c>
      <c r="B1956" s="5" t="str">
        <f>HYPERLINK("http://www.broadinstitute.org/gsea/msigdb/cards/GOBP_VITAMIN_BIOSYNTHETIC_PROCESS.html","GOBP_VITAMIN_BIOSYNTHETIC_PROCESS")</f>
        <v>GOBP_VITAMIN_BIOSYNTHETIC_PROCESS</v>
      </c>
      <c r="C1956" s="4">
        <v>26</v>
      </c>
      <c r="D1956" s="3">
        <v>1.3678197999999999</v>
      </c>
      <c r="E1956" s="1">
        <v>8.6805549999999995E-2</v>
      </c>
      <c r="F1956" s="2">
        <v>0.14133807000000001</v>
      </c>
    </row>
    <row r="1957" spans="1:6" x14ac:dyDescent="0.25">
      <c r="A1957" t="s">
        <v>6</v>
      </c>
      <c r="B1957" s="5" t="str">
        <f>HYPERLINK("http://www.broadinstitute.org/gsea/msigdb/cards/GOBP_LIPID_OXIDATION.html","GOBP_LIPID_OXIDATION")</f>
        <v>GOBP_LIPID_OXIDATION</v>
      </c>
      <c r="C1957" s="4">
        <v>122</v>
      </c>
      <c r="D1957" s="3">
        <v>1.3670834000000001</v>
      </c>
      <c r="E1957" s="1">
        <v>2.4615385E-2</v>
      </c>
      <c r="F1957" s="2">
        <v>0.14196220000000001</v>
      </c>
    </row>
    <row r="1958" spans="1:6" x14ac:dyDescent="0.25">
      <c r="A1958" t="s">
        <v>6</v>
      </c>
      <c r="B1958" s="5" t="str">
        <f>HYPERLINK("http://www.broadinstitute.org/gsea/msigdb/cards/GOBP_BLASTOCYST_FORMATION.html","GOBP_BLASTOCYST_FORMATION")</f>
        <v>GOBP_BLASTOCYST_FORMATION</v>
      </c>
      <c r="C1958" s="4">
        <v>57</v>
      </c>
      <c r="D1958" s="3">
        <v>1.3668772</v>
      </c>
      <c r="E1958" s="1">
        <v>6.4162750000000005E-2</v>
      </c>
      <c r="F1958" s="2">
        <v>0.14206758</v>
      </c>
    </row>
    <row r="1959" spans="1:6" x14ac:dyDescent="0.25">
      <c r="A1959" t="s">
        <v>6</v>
      </c>
      <c r="B1959" s="5" t="str">
        <f>HYPERLINK("http://www.broadinstitute.org/gsea/msigdb/cards/GOBP_GLUTAMATE_RECEPTOR_SIGNALING_PATHWAY.html","GOBP_GLUTAMATE_RECEPTOR_SIGNALING_PATHWAY")</f>
        <v>GOBP_GLUTAMATE_RECEPTOR_SIGNALING_PATHWAY</v>
      </c>
      <c r="C1959" s="4">
        <v>50</v>
      </c>
      <c r="D1959" s="3">
        <v>1.3664817</v>
      </c>
      <c r="E1959" s="1">
        <v>7.1192056000000004E-2</v>
      </c>
      <c r="F1959" s="2">
        <v>0.14237722999999999</v>
      </c>
    </row>
    <row r="1960" spans="1:6" x14ac:dyDescent="0.25">
      <c r="A1960" t="s">
        <v>6</v>
      </c>
      <c r="B1960" s="5" t="str">
        <f>HYPERLINK("http://www.broadinstitute.org/gsea/msigdb/cards/GOBP_CALCIUM_ION_TRANSMEMBRANE_IMPORT_INTO_CYTOSOL.html","GOBP_CALCIUM_ION_TRANSMEMBRANE_IMPORT_INTO_CYTOSOL")</f>
        <v>GOBP_CALCIUM_ION_TRANSMEMBRANE_IMPORT_INTO_CYTOSOL</v>
      </c>
      <c r="C1960" s="4">
        <v>186</v>
      </c>
      <c r="D1960" s="3">
        <v>1.3663217000000001</v>
      </c>
      <c r="E1960" s="1">
        <v>1.14613185E-2</v>
      </c>
      <c r="F1960" s="2">
        <v>0.14246096</v>
      </c>
    </row>
    <row r="1961" spans="1:6" x14ac:dyDescent="0.25">
      <c r="A1961" t="s">
        <v>6</v>
      </c>
      <c r="B1961" s="5" t="str">
        <f>HYPERLINK("http://www.broadinstitute.org/gsea/msigdb/cards/GOBP_CELLULAR_RESPONSE_TO_OSMOTIC_STRESS.html","GOBP_CELLULAR_RESPONSE_TO_OSMOTIC_STRESS")</f>
        <v>GOBP_CELLULAR_RESPONSE_TO_OSMOTIC_STRESS</v>
      </c>
      <c r="C1961" s="4">
        <v>52</v>
      </c>
      <c r="D1961" s="3">
        <v>1.3655923999999999</v>
      </c>
      <c r="E1961" s="1">
        <v>4.9839229999999998E-2</v>
      </c>
      <c r="F1961" s="2">
        <v>0.14309846000000001</v>
      </c>
    </row>
    <row r="1962" spans="1:6" x14ac:dyDescent="0.25">
      <c r="A1962" t="s">
        <v>6</v>
      </c>
      <c r="B1962" s="5" t="str">
        <f>HYPERLINK("http://www.broadinstitute.org/gsea/msigdb/cards/GOBP_REGULATION_OF_ESTABLISHMENT_OF_PLANAR_POLARITY.html","GOBP_REGULATION_OF_ESTABLISHMENT_OF_PLANAR_POLARITY")</f>
        <v>GOBP_REGULATION_OF_ESTABLISHMENT_OF_PLANAR_POLARITY</v>
      </c>
      <c r="C1962" s="4">
        <v>43</v>
      </c>
      <c r="D1962" s="3">
        <v>1.3655432000000001</v>
      </c>
      <c r="E1962" s="1">
        <v>7.6923080000000005E-2</v>
      </c>
      <c r="F1962" s="2">
        <v>0.14307465</v>
      </c>
    </row>
    <row r="1963" spans="1:6" x14ac:dyDescent="0.25">
      <c r="A1963" t="s">
        <v>6</v>
      </c>
      <c r="B1963" s="5" t="str">
        <f>HYPERLINK("http://www.broadinstitute.org/gsea/msigdb/cards/GOBP_TIGHT_JUNCTION_ORGANIZATION.html","GOBP_TIGHT_JUNCTION_ORGANIZATION")</f>
        <v>GOBP_TIGHT_JUNCTION_ORGANIZATION</v>
      </c>
      <c r="C1963" s="4">
        <v>84</v>
      </c>
      <c r="D1963" s="3">
        <v>1.3651388</v>
      </c>
      <c r="E1963" s="1">
        <v>2.7863776E-2</v>
      </c>
      <c r="F1963" s="2">
        <v>0.14340612</v>
      </c>
    </row>
    <row r="1964" spans="1:6" x14ac:dyDescent="0.25">
      <c r="A1964" t="s">
        <v>6</v>
      </c>
      <c r="B1964" s="5" t="str">
        <f>HYPERLINK("http://www.broadinstitute.org/gsea/msigdb/cards/GOBP_REGULATION_OF_DEFENSE_RESPONSE_TO_BACTERIUM.html","GOBP_REGULATION_OF_DEFENSE_RESPONSE_TO_BACTERIUM")</f>
        <v>GOBP_REGULATION_OF_DEFENSE_RESPONSE_TO_BACTERIUM</v>
      </c>
      <c r="C1964" s="4">
        <v>21</v>
      </c>
      <c r="D1964" s="3">
        <v>1.3651378999999999</v>
      </c>
      <c r="E1964" s="1">
        <v>9.2495635000000007E-2</v>
      </c>
      <c r="F1964" s="2">
        <v>0.14333409999999999</v>
      </c>
    </row>
    <row r="1965" spans="1:6" x14ac:dyDescent="0.25">
      <c r="A1965" t="s">
        <v>8</v>
      </c>
      <c r="B1965" s="5" t="str">
        <f>HYPERLINK("http://www.broadinstitute.org/gsea/msigdb/cards/GOMF_HORMONE_RECEPTOR_BINDING.html","GOMF_HORMONE_RECEPTOR_BINDING")</f>
        <v>GOMF_HORMONE_RECEPTOR_BINDING</v>
      </c>
      <c r="C1965" s="4">
        <v>26</v>
      </c>
      <c r="D1965" s="3">
        <v>1.3647748</v>
      </c>
      <c r="E1965" s="1">
        <v>0.102605864</v>
      </c>
      <c r="F1965" s="2">
        <v>0.14359018000000001</v>
      </c>
    </row>
    <row r="1966" spans="1:6" x14ac:dyDescent="0.25">
      <c r="A1966" t="s">
        <v>6</v>
      </c>
      <c r="B1966" s="5" t="str">
        <f>HYPERLINK("http://www.broadinstitute.org/gsea/msigdb/cards/GOBP_PLASMA_MEMBRANE_TUBULATION.html","GOBP_PLASMA_MEMBRANE_TUBULATION")</f>
        <v>GOBP_PLASMA_MEMBRANE_TUBULATION</v>
      </c>
      <c r="C1966" s="4">
        <v>19</v>
      </c>
      <c r="D1966" s="3">
        <v>1.3643723000000001</v>
      </c>
      <c r="E1966" s="1">
        <v>0.10033445000000001</v>
      </c>
      <c r="F1966" s="2">
        <v>0.14390222999999999</v>
      </c>
    </row>
    <row r="1967" spans="1:6" x14ac:dyDescent="0.25">
      <c r="A1967" t="s">
        <v>6</v>
      </c>
      <c r="B1967" s="5" t="str">
        <f>HYPERLINK("http://www.broadinstitute.org/gsea/msigdb/cards/GOBP_NEGATIVE_REGULATION_OF_MUSCLE_CONTRACTION.html","GOBP_NEGATIVE_REGULATION_OF_MUSCLE_CONTRACTION")</f>
        <v>GOBP_NEGATIVE_REGULATION_OF_MUSCLE_CONTRACTION</v>
      </c>
      <c r="C1967" s="4">
        <v>30</v>
      </c>
      <c r="D1967" s="3">
        <v>1.3642071</v>
      </c>
      <c r="E1967" s="1">
        <v>7.1312810000000004E-2</v>
      </c>
      <c r="F1967" s="2">
        <v>0.14397462</v>
      </c>
    </row>
    <row r="1968" spans="1:6" x14ac:dyDescent="0.25">
      <c r="A1968" t="s">
        <v>10</v>
      </c>
      <c r="B1968" s="5" t="str">
        <f>HYPERLINK("http://www.broadinstitute.org/gsea/msigdb/cards/REACTOME_SURFACTANT_METABOLISM.html","REACTOME_SURFACTANT_METABOLISM")</f>
        <v>REACTOME_SURFACTANT_METABOLISM</v>
      </c>
      <c r="C1968" s="4">
        <v>21</v>
      </c>
      <c r="D1968" s="3">
        <v>1.3638840999999999</v>
      </c>
      <c r="E1968" s="1">
        <v>0.10611511</v>
      </c>
      <c r="F1968" s="2">
        <v>0.14421110000000001</v>
      </c>
    </row>
    <row r="1969" spans="1:6" x14ac:dyDescent="0.25">
      <c r="A1969" t="s">
        <v>6</v>
      </c>
      <c r="B1969" s="5" t="str">
        <f>HYPERLINK("http://www.broadinstitute.org/gsea/msigdb/cards/GOBP_POSITIVE_REGULATION_OF_GLIOGENESIS.html","GOBP_POSITIVE_REGULATION_OF_GLIOGENESIS")</f>
        <v>GOBP_POSITIVE_REGULATION_OF_GLIOGENESIS</v>
      </c>
      <c r="C1969" s="4">
        <v>88</v>
      </c>
      <c r="D1969" s="3">
        <v>1.3636702000000001</v>
      </c>
      <c r="E1969" s="1">
        <v>3.5825546999999999E-2</v>
      </c>
      <c r="F1969" s="2">
        <v>0.14434646000000001</v>
      </c>
    </row>
    <row r="1970" spans="1:6" x14ac:dyDescent="0.25">
      <c r="A1970" t="s">
        <v>7</v>
      </c>
      <c r="B1970" s="5" t="str">
        <f>HYPERLINK("http://www.broadinstitute.org/gsea/msigdb/cards/GOCC_APICAL_PART_OF_CELL.html","GOCC_APICAL_PART_OF_CELL")</f>
        <v>GOCC_APICAL_PART_OF_CELL</v>
      </c>
      <c r="C1970" s="4">
        <v>496</v>
      </c>
      <c r="D1970" s="3">
        <v>1.3635716</v>
      </c>
      <c r="E1970" s="1">
        <v>1.2135922E-3</v>
      </c>
      <c r="F1970" s="2">
        <v>0.14436336999999999</v>
      </c>
    </row>
    <row r="1971" spans="1:6" x14ac:dyDescent="0.25">
      <c r="A1971" t="s">
        <v>5</v>
      </c>
      <c r="B1971" s="5" t="str">
        <f>HYPERLINK("http://www.broadinstitute.org/gsea/msigdb/cards/BIOCARTA_EDG1_PATHWAY.html","BIOCARTA_EDG1_PATHWAY")</f>
        <v>BIOCARTA_EDG1_PATHWAY</v>
      </c>
      <c r="C1971" s="4">
        <v>20</v>
      </c>
      <c r="D1971" s="3">
        <v>1.363381</v>
      </c>
      <c r="E1971" s="1">
        <v>0.10416666400000001</v>
      </c>
      <c r="F1971" s="2">
        <v>0.14448859</v>
      </c>
    </row>
    <row r="1972" spans="1:6" x14ac:dyDescent="0.25">
      <c r="A1972" t="s">
        <v>6</v>
      </c>
      <c r="B1972" s="5" t="str">
        <f>HYPERLINK("http://www.broadinstitute.org/gsea/msigdb/cards/GOBP_GLIAL_CELL_PROLIFERATION.html","GOBP_GLIAL_CELL_PROLIFERATION")</f>
        <v>GOBP_GLIAL_CELL_PROLIFERATION</v>
      </c>
      <c r="C1972" s="4">
        <v>78</v>
      </c>
      <c r="D1972" s="3">
        <v>1.3629795</v>
      </c>
      <c r="E1972" s="1">
        <v>3.1796504000000003E-2</v>
      </c>
      <c r="F1972" s="2">
        <v>0.1447958</v>
      </c>
    </row>
    <row r="1973" spans="1:6" x14ac:dyDescent="0.25">
      <c r="A1973" t="s">
        <v>5</v>
      </c>
      <c r="B1973" s="5" t="str">
        <f>HYPERLINK("http://www.broadinstitute.org/gsea/msigdb/cards/BIOCARTA_EIF4_PATHWAY.html","BIOCARTA_EIF4_PATHWAY")</f>
        <v>BIOCARTA_EIF4_PATHWAY</v>
      </c>
      <c r="C1973" s="4">
        <v>21</v>
      </c>
      <c r="D1973" s="3">
        <v>1.3628834000000001</v>
      </c>
      <c r="E1973" s="1">
        <v>9.9303134000000001E-2</v>
      </c>
      <c r="F1973" s="2">
        <v>0.14481506999999999</v>
      </c>
    </row>
    <row r="1974" spans="1:6" x14ac:dyDescent="0.25">
      <c r="A1974" t="s">
        <v>6</v>
      </c>
      <c r="B1974" s="5" t="str">
        <f>HYPERLINK("http://www.broadinstitute.org/gsea/msigdb/cards/GOBP_CALCIUM_ION_TRANSMEMBRANE_TRANSPORT.html","GOBP_CALCIUM_ION_TRANSMEMBRANE_TRANSPORT")</f>
        <v>GOBP_CALCIUM_ION_TRANSMEMBRANE_TRANSPORT</v>
      </c>
      <c r="C1974" s="4">
        <v>334</v>
      </c>
      <c r="D1974" s="3">
        <v>1.3625236999999999</v>
      </c>
      <c r="E1974" s="1">
        <v>8.8719899999999997E-3</v>
      </c>
      <c r="F1974" s="2">
        <v>0.14508310999999999</v>
      </c>
    </row>
    <row r="1975" spans="1:6" x14ac:dyDescent="0.25">
      <c r="A1975" t="s">
        <v>10</v>
      </c>
      <c r="B1975" s="5" t="str">
        <f>HYPERLINK("http://www.broadinstitute.org/gsea/msigdb/cards/REACTOME_TNF_SIGNALING.html","REACTOME_TNF_SIGNALING")</f>
        <v>REACTOME_TNF_SIGNALING</v>
      </c>
      <c r="C1975" s="4">
        <v>57</v>
      </c>
      <c r="D1975" s="3">
        <v>1.3620388999999999</v>
      </c>
      <c r="E1975" s="1">
        <v>6.7213120000000001E-2</v>
      </c>
      <c r="F1975" s="2">
        <v>0.14547312000000001</v>
      </c>
    </row>
    <row r="1976" spans="1:6" x14ac:dyDescent="0.25">
      <c r="A1976" t="s">
        <v>5</v>
      </c>
      <c r="B1976" s="5" t="str">
        <f>HYPERLINK("http://www.broadinstitute.org/gsea/msigdb/cards/BIOCARTA_TOB1_PATHWAY.html","BIOCARTA_TOB1_PATHWAY")</f>
        <v>BIOCARTA_TOB1_PATHWAY</v>
      </c>
      <c r="C1976" s="4">
        <v>19</v>
      </c>
      <c r="D1976" s="3">
        <v>1.3619654999999999</v>
      </c>
      <c r="E1976" s="1">
        <v>0.10968921</v>
      </c>
      <c r="F1976" s="2">
        <v>0.14546915999999999</v>
      </c>
    </row>
    <row r="1977" spans="1:6" x14ac:dyDescent="0.25">
      <c r="A1977" t="s">
        <v>6</v>
      </c>
      <c r="B1977" s="5" t="str">
        <f>HYPERLINK("http://www.broadinstitute.org/gsea/msigdb/cards/GOBP_HIPPO_SIGNALING.html","GOBP_HIPPO_SIGNALING")</f>
        <v>GOBP_HIPPO_SIGNALING</v>
      </c>
      <c r="C1977" s="4">
        <v>40</v>
      </c>
      <c r="D1977" s="3">
        <v>1.3613010000000001</v>
      </c>
      <c r="E1977" s="1">
        <v>7.6400679999999999E-2</v>
      </c>
      <c r="F1977" s="2">
        <v>0.14604731000000001</v>
      </c>
    </row>
    <row r="1978" spans="1:6" x14ac:dyDescent="0.25">
      <c r="A1978" t="s">
        <v>7</v>
      </c>
      <c r="B1978" s="5" t="str">
        <f>HYPERLINK("http://www.broadinstitute.org/gsea/msigdb/cards/GOCC_CORTICAL_CYTOSKELETON.html","GOCC_CORTICAL_CYTOSKELETON")</f>
        <v>GOCC_CORTICAL_CYTOSKELETON</v>
      </c>
      <c r="C1978" s="4">
        <v>117</v>
      </c>
      <c r="D1978" s="3">
        <v>1.3611808999999999</v>
      </c>
      <c r="E1978" s="1">
        <v>2.7338129999999999E-2</v>
      </c>
      <c r="F1978" s="2">
        <v>0.14608787000000001</v>
      </c>
    </row>
    <row r="1979" spans="1:6" x14ac:dyDescent="0.25">
      <c r="A1979" t="s">
        <v>5</v>
      </c>
      <c r="B1979" s="5" t="str">
        <f>HYPERLINK("http://www.broadinstitute.org/gsea/msigdb/cards/BIOCARTA_ATM_PATHWAY.html","BIOCARTA_ATM_PATHWAY")</f>
        <v>BIOCARTA_ATM_PATHWAY</v>
      </c>
      <c r="C1979" s="4">
        <v>19</v>
      </c>
      <c r="D1979" s="3">
        <v>1.3610245000000001</v>
      </c>
      <c r="E1979" s="1">
        <v>0.10471204000000001</v>
      </c>
      <c r="F1979" s="2">
        <v>0.14615907</v>
      </c>
    </row>
    <row r="1980" spans="1:6" x14ac:dyDescent="0.25">
      <c r="A1980" t="s">
        <v>6</v>
      </c>
      <c r="B1980" s="5" t="str">
        <f>HYPERLINK("http://www.broadinstitute.org/gsea/msigdb/cards/GOBP_SULFUR_AMINO_ACID_METABOLIC_PROCESS.html","GOBP_SULFUR_AMINO_ACID_METABOLIC_PROCESS")</f>
        <v>GOBP_SULFUR_AMINO_ACID_METABOLIC_PROCESS</v>
      </c>
      <c r="C1980" s="4">
        <v>31</v>
      </c>
      <c r="D1980" s="3">
        <v>1.3610165999999999</v>
      </c>
      <c r="E1980" s="1">
        <v>8.9403969999999999E-2</v>
      </c>
      <c r="F1980" s="2">
        <v>0.14609340000000001</v>
      </c>
    </row>
    <row r="1981" spans="1:6" x14ac:dyDescent="0.25">
      <c r="A1981" t="s">
        <v>6</v>
      </c>
      <c r="B1981" s="5" t="str">
        <f>HYPERLINK("http://www.broadinstitute.org/gsea/msigdb/cards/GOBP_REGULATION_OF_PROTEIN_BINDING.html","GOBP_REGULATION_OF_PROTEIN_BINDING")</f>
        <v>GOBP_REGULATION_OF_PROTEIN_BINDING</v>
      </c>
      <c r="C1981" s="4">
        <v>222</v>
      </c>
      <c r="D1981" s="3">
        <v>1.3607389999999999</v>
      </c>
      <c r="E1981" s="1">
        <v>9.7222230000000003E-3</v>
      </c>
      <c r="F1981" s="2">
        <v>0.1462957</v>
      </c>
    </row>
    <row r="1982" spans="1:6" x14ac:dyDescent="0.25">
      <c r="A1982" t="s">
        <v>6</v>
      </c>
      <c r="B1982" s="5" t="str">
        <f>HYPERLINK("http://www.broadinstitute.org/gsea/msigdb/cards/GOBP_REGULATION_OF_METAL_ION_TRANSPORT.html","GOBP_REGULATION_OF_METAL_ION_TRANSPORT")</f>
        <v>GOBP_REGULATION_OF_METAL_ION_TRANSPORT</v>
      </c>
      <c r="C1982" s="4">
        <v>446</v>
      </c>
      <c r="D1982" s="3">
        <v>1.3601321</v>
      </c>
      <c r="E1982" s="1">
        <v>2.4783148E-3</v>
      </c>
      <c r="F1982" s="2">
        <v>0.14681126</v>
      </c>
    </row>
    <row r="1983" spans="1:6" x14ac:dyDescent="0.25">
      <c r="A1983" t="s">
        <v>6</v>
      </c>
      <c r="B1983" s="5" t="str">
        <f>HYPERLINK("http://www.broadinstitute.org/gsea/msigdb/cards/GOBP_RESPONSE_TO_AMINO_ACID_STARVATION.html","GOBP_RESPONSE_TO_AMINO_ACID_STARVATION")</f>
        <v>GOBP_RESPONSE_TO_AMINO_ACID_STARVATION</v>
      </c>
      <c r="C1983" s="4">
        <v>54</v>
      </c>
      <c r="D1983" s="3">
        <v>1.3599699999999999</v>
      </c>
      <c r="E1983" s="1">
        <v>7.03125E-2</v>
      </c>
      <c r="F1983" s="2">
        <v>0.14689352</v>
      </c>
    </row>
    <row r="1984" spans="1:6" x14ac:dyDescent="0.25">
      <c r="A1984" t="s">
        <v>6</v>
      </c>
      <c r="B1984" s="5" t="str">
        <f>HYPERLINK("http://www.broadinstitute.org/gsea/msigdb/cards/GOBP_PROTEOGLYCAN_METABOLIC_PROCESS.html","GOBP_PROTEOGLYCAN_METABOLIC_PROCESS")</f>
        <v>GOBP_PROTEOGLYCAN_METABOLIC_PROCESS</v>
      </c>
      <c r="C1984" s="4">
        <v>88</v>
      </c>
      <c r="D1984" s="3">
        <v>1.3595733999999999</v>
      </c>
      <c r="E1984" s="1">
        <v>4.4684130000000002E-2</v>
      </c>
      <c r="F1984" s="2">
        <v>0.14719939000000001</v>
      </c>
    </row>
    <row r="1985" spans="1:6" x14ac:dyDescent="0.25">
      <c r="A1985" t="s">
        <v>6</v>
      </c>
      <c r="B1985" s="5" t="str">
        <f>HYPERLINK("http://www.broadinstitute.org/gsea/msigdb/cards/GOBP_REGULATION_OF_PROTEIN_LOCALIZATION_TO_CELL_PERIPHERY.html","GOBP_REGULATION_OF_PROTEIN_LOCALIZATION_TO_CELL_PERIPHERY")</f>
        <v>GOBP_REGULATION_OF_PROTEIN_LOCALIZATION_TO_CELL_PERIPHERY</v>
      </c>
      <c r="C1985" s="4">
        <v>152</v>
      </c>
      <c r="D1985" s="3">
        <v>1.3588536</v>
      </c>
      <c r="E1985" s="1">
        <v>2.0648967000000001E-2</v>
      </c>
      <c r="F1985" s="2">
        <v>0.14783183</v>
      </c>
    </row>
    <row r="1986" spans="1:6" x14ac:dyDescent="0.25">
      <c r="A1986" t="s">
        <v>6</v>
      </c>
      <c r="B1986" s="5" t="str">
        <f>HYPERLINK("http://www.broadinstitute.org/gsea/msigdb/cards/GOBP_PEPTIDE_HORMONE_PROCESSING.html","GOBP_PEPTIDE_HORMONE_PROCESSING")</f>
        <v>GOBP_PEPTIDE_HORMONE_PROCESSING</v>
      </c>
      <c r="C1986" s="4">
        <v>23</v>
      </c>
      <c r="D1986" s="3">
        <v>1.3588138000000001</v>
      </c>
      <c r="E1986" s="1">
        <v>8.1415929999999997E-2</v>
      </c>
      <c r="F1986" s="2">
        <v>0.14779992</v>
      </c>
    </row>
    <row r="1987" spans="1:6" x14ac:dyDescent="0.25">
      <c r="A1987" t="s">
        <v>6</v>
      </c>
      <c r="B1987" s="5" t="str">
        <f>HYPERLINK("http://www.broadinstitute.org/gsea/msigdb/cards/GOBP_POSITIVE_REGULATION_OF_CALCIUM_ION_TRANSPORT.html","GOBP_POSITIVE_REGULATION_OF_CALCIUM_ION_TRANSPORT")</f>
        <v>GOBP_POSITIVE_REGULATION_OF_CALCIUM_ION_TRANSPORT</v>
      </c>
      <c r="C1987" s="4">
        <v>143</v>
      </c>
      <c r="D1987" s="3">
        <v>1.3581778</v>
      </c>
      <c r="E1987" s="1">
        <v>3.2485875999999997E-2</v>
      </c>
      <c r="F1987" s="2">
        <v>0.14837481</v>
      </c>
    </row>
    <row r="1988" spans="1:6" x14ac:dyDescent="0.25">
      <c r="A1988" t="s">
        <v>6</v>
      </c>
      <c r="B1988" s="5" t="str">
        <f>HYPERLINK("http://www.broadinstitute.org/gsea/msigdb/cards/GOBP_DETECTION_OF_MECHANICAL_STIMULUS_INVOLVED_IN_SENSORY_PERCEPTION.html","GOBP_DETECTION_OF_MECHANICAL_STIMULUS_INVOLVED_IN_SENSORY_PERCEPTION")</f>
        <v>GOBP_DETECTION_OF_MECHANICAL_STIMULUS_INVOLVED_IN_SENSORY_PERCEPTION</v>
      </c>
      <c r="C1988" s="4">
        <v>54</v>
      </c>
      <c r="D1988" s="3">
        <v>1.3576248</v>
      </c>
      <c r="E1988" s="1">
        <v>4.7244094E-2</v>
      </c>
      <c r="F1988" s="2">
        <v>0.14885092</v>
      </c>
    </row>
    <row r="1989" spans="1:6" x14ac:dyDescent="0.25">
      <c r="A1989" t="s">
        <v>8</v>
      </c>
      <c r="B1989" s="5" t="str">
        <f>HYPERLINK("http://www.broadinstitute.org/gsea/msigdb/cards/GOMF_PHOSPHOLIPASE_ACTIVITY.html","GOMF_PHOSPHOLIPASE_ACTIVITY")</f>
        <v>GOMF_PHOSPHOLIPASE_ACTIVITY</v>
      </c>
      <c r="C1989" s="4">
        <v>94</v>
      </c>
      <c r="D1989" s="3">
        <v>1.3574489999999999</v>
      </c>
      <c r="E1989" s="1">
        <v>4.0688573999999998E-2</v>
      </c>
      <c r="F1989" s="2">
        <v>0.14895220000000001</v>
      </c>
    </row>
    <row r="1990" spans="1:6" x14ac:dyDescent="0.25">
      <c r="A1990" t="s">
        <v>6</v>
      </c>
      <c r="B1990" s="5" t="str">
        <f>HYPERLINK("http://www.broadinstitute.org/gsea/msigdb/cards/GOBP_EPITHELIAL_TO_MESENCHYMAL_TRANSITION.html","GOBP_EPITHELIAL_TO_MESENCHYMAL_TRANSITION")</f>
        <v>GOBP_EPITHELIAL_TO_MESENCHYMAL_TRANSITION</v>
      </c>
      <c r="C1990" s="4">
        <v>165</v>
      </c>
      <c r="D1990" s="3">
        <v>1.3571042</v>
      </c>
      <c r="E1990" s="1">
        <v>1.746725E-2</v>
      </c>
      <c r="F1990" s="2">
        <v>0.14921096</v>
      </c>
    </row>
    <row r="1991" spans="1:6" x14ac:dyDescent="0.25">
      <c r="A1991" t="s">
        <v>6</v>
      </c>
      <c r="B1991" s="5" t="str">
        <f>HYPERLINK("http://www.broadinstitute.org/gsea/msigdb/cards/GOBP_REGULATION_OF_ENDOTHELIAL_CELL_CHEMOTAXIS.html","GOBP_REGULATION_OF_ENDOTHELIAL_CELL_CHEMOTAXIS")</f>
        <v>GOBP_REGULATION_OF_ENDOTHELIAL_CELL_CHEMOTAXIS</v>
      </c>
      <c r="C1991" s="4">
        <v>23</v>
      </c>
      <c r="D1991" s="3">
        <v>1.3570336999999999</v>
      </c>
      <c r="E1991" s="1">
        <v>9.1388404000000006E-2</v>
      </c>
      <c r="F1991" s="2">
        <v>0.14921096</v>
      </c>
    </row>
    <row r="1992" spans="1:6" x14ac:dyDescent="0.25">
      <c r="A1992" t="s">
        <v>6</v>
      </c>
      <c r="B1992" s="5" t="str">
        <f>HYPERLINK("http://www.broadinstitute.org/gsea/msigdb/cards/GOBP_NEGATIVE_REGULATION_OF_CYCLIN_DEPENDENT_PROTEIN_KINASE_ACTIVITY.html","GOBP_NEGATIVE_REGULATION_OF_CYCLIN_DEPENDENT_PROTEIN_KINASE_ACTIVITY")</f>
        <v>GOBP_NEGATIVE_REGULATION_OF_CYCLIN_DEPENDENT_PROTEIN_KINASE_ACTIVITY</v>
      </c>
      <c r="C1992" s="4">
        <v>27</v>
      </c>
      <c r="D1992" s="3">
        <v>1.3569169000000001</v>
      </c>
      <c r="E1992" s="1">
        <v>8.4717609999999999E-2</v>
      </c>
      <c r="F1992" s="2">
        <v>0.14925785</v>
      </c>
    </row>
    <row r="1993" spans="1:6" x14ac:dyDescent="0.25">
      <c r="A1993" t="s">
        <v>6</v>
      </c>
      <c r="B1993" s="5" t="str">
        <f>HYPERLINK("http://www.broadinstitute.org/gsea/msigdb/cards/GOBP_EXTRINSIC_APOPTOTIC_SIGNALING_PATHWAY_VIA_DEATH_DOMAIN_RECEPTORS.html","GOBP_EXTRINSIC_APOPTOTIC_SIGNALING_PATHWAY_VIA_DEATH_DOMAIN_RECEPTORS")</f>
        <v>GOBP_EXTRINSIC_APOPTOTIC_SIGNALING_PATHWAY_VIA_DEATH_DOMAIN_RECEPTORS</v>
      </c>
      <c r="C1993" s="4">
        <v>82</v>
      </c>
      <c r="D1993" s="3">
        <v>1.3565995</v>
      </c>
      <c r="E1993" s="1">
        <v>5.3846154E-2</v>
      </c>
      <c r="F1993" s="2">
        <v>0.14951814999999999</v>
      </c>
    </row>
    <row r="1994" spans="1:6" x14ac:dyDescent="0.25">
      <c r="A1994" t="s">
        <v>10</v>
      </c>
      <c r="B1994" s="5" t="str">
        <f>HYPERLINK("http://www.broadinstitute.org/gsea/msigdb/cards/REACTOME_GENERATION_OF_SECOND_MESSENGER_MOLECULES.html","REACTOME_GENERATION_OF_SECOND_MESSENGER_MOLECULES")</f>
        <v>REACTOME_GENERATION_OF_SECOND_MESSENGER_MOLECULES</v>
      </c>
      <c r="C1994" s="4">
        <v>23</v>
      </c>
      <c r="D1994" s="3">
        <v>1.3561620000000001</v>
      </c>
      <c r="E1994" s="1">
        <v>0.10479574</v>
      </c>
      <c r="F1994" s="2">
        <v>0.14990495000000001</v>
      </c>
    </row>
    <row r="1995" spans="1:6" x14ac:dyDescent="0.25">
      <c r="A1995" t="s">
        <v>10</v>
      </c>
      <c r="B1995" s="5" t="str">
        <f>HYPERLINK("http://www.broadinstitute.org/gsea/msigdb/cards/REACTOME_HEME_DEGRADATION.html","REACTOME_HEME_DEGRADATION")</f>
        <v>REACTOME_HEME_DEGRADATION</v>
      </c>
      <c r="C1995" s="4">
        <v>18</v>
      </c>
      <c r="D1995" s="3">
        <v>1.355677</v>
      </c>
      <c r="E1995" s="1">
        <v>0.11648746</v>
      </c>
      <c r="F1995" s="2">
        <v>0.15033387000000001</v>
      </c>
    </row>
    <row r="1996" spans="1:6" x14ac:dyDescent="0.25">
      <c r="A1996" t="s">
        <v>6</v>
      </c>
      <c r="B1996" s="5" t="str">
        <f>HYPERLINK("http://www.broadinstitute.org/gsea/msigdb/cards/GOBP_MATERNAL_PLACENTA_DEVELOPMENT.html","GOBP_MATERNAL_PLACENTA_DEVELOPMENT")</f>
        <v>GOBP_MATERNAL_PLACENTA_DEVELOPMENT</v>
      </c>
      <c r="C1996" s="4">
        <v>35</v>
      </c>
      <c r="D1996" s="3">
        <v>1.355443</v>
      </c>
      <c r="E1996" s="1">
        <v>8.3333335999999994E-2</v>
      </c>
      <c r="F1996" s="2">
        <v>0.15049613000000001</v>
      </c>
    </row>
    <row r="1997" spans="1:6" x14ac:dyDescent="0.25">
      <c r="A1997" t="s">
        <v>8</v>
      </c>
      <c r="B1997" s="5" t="str">
        <f>HYPERLINK("http://www.broadinstitute.org/gsea/msigdb/cards/GOMF_TETRAPYRROLE_BINDING.html","GOMF_TETRAPYRROLE_BINDING")</f>
        <v>GOMF_TETRAPYRROLE_BINDING</v>
      </c>
      <c r="C1997" s="4">
        <v>146</v>
      </c>
      <c r="D1997" s="3">
        <v>1.3543693999999999</v>
      </c>
      <c r="E1997" s="1">
        <v>2.0028612000000001E-2</v>
      </c>
      <c r="F1997" s="2">
        <v>0.15146546</v>
      </c>
    </row>
    <row r="1998" spans="1:6" x14ac:dyDescent="0.25">
      <c r="A1998" t="s">
        <v>8</v>
      </c>
      <c r="B1998" s="5" t="str">
        <f>HYPERLINK("http://www.broadinstitute.org/gsea/msigdb/cards/GOMF_MAGNESIUM_ION_TRANSMEMBRANE_TRANSPORTER_ACTIVITY.html","GOMF_MAGNESIUM_ION_TRANSMEMBRANE_TRANSPORTER_ACTIVITY")</f>
        <v>GOMF_MAGNESIUM_ION_TRANSMEMBRANE_TRANSPORTER_ACTIVITY</v>
      </c>
      <c r="C1998" s="4">
        <v>15</v>
      </c>
      <c r="D1998" s="3">
        <v>1.3542985000000001</v>
      </c>
      <c r="E1998" s="1">
        <v>0.11050725</v>
      </c>
      <c r="F1998" s="2">
        <v>0.1514683</v>
      </c>
    </row>
    <row r="1999" spans="1:6" x14ac:dyDescent="0.25">
      <c r="A1999" t="s">
        <v>6</v>
      </c>
      <c r="B1999" s="5" t="str">
        <f>HYPERLINK("http://www.broadinstitute.org/gsea/msigdb/cards/GOBP_N_ACETYLGLUCOSAMINE_METABOLIC_PROCESS.html","GOBP_N_ACETYLGLUCOSAMINE_METABOLIC_PROCESS")</f>
        <v>GOBP_N_ACETYLGLUCOSAMINE_METABOLIC_PROCESS</v>
      </c>
      <c r="C1999" s="4">
        <v>16</v>
      </c>
      <c r="D1999" s="3">
        <v>1.3537021</v>
      </c>
      <c r="E1999" s="1">
        <v>0.10758377600000001</v>
      </c>
      <c r="F1999" s="2">
        <v>0.15197264999999999</v>
      </c>
    </row>
    <row r="2000" spans="1:6" x14ac:dyDescent="0.25">
      <c r="A2000" t="s">
        <v>6</v>
      </c>
      <c r="B2000" s="5" t="str">
        <f>HYPERLINK("http://www.broadinstitute.org/gsea/msigdb/cards/GOBP_POSITIVE_REGULATION_OF_SMOOTH_MUSCLE_CONTRACTION.html","GOBP_POSITIVE_REGULATION_OF_SMOOTH_MUSCLE_CONTRACTION")</f>
        <v>GOBP_POSITIVE_REGULATION_OF_SMOOTH_MUSCLE_CONTRACTION</v>
      </c>
      <c r="C2000" s="4">
        <v>35</v>
      </c>
      <c r="D2000" s="3">
        <v>1.3535546000000001</v>
      </c>
      <c r="E2000" s="1">
        <v>8.3881579999999997E-2</v>
      </c>
      <c r="F2000" s="2">
        <v>0.15205500999999999</v>
      </c>
    </row>
    <row r="2001" spans="1:6" x14ac:dyDescent="0.25">
      <c r="A2001" t="s">
        <v>10</v>
      </c>
      <c r="B2001" s="5" t="str">
        <f>HYPERLINK("http://www.broadinstitute.org/gsea/msigdb/cards/REACTOME_GRB2_SOS_PROVIDES_LINKAGE_TO_MAPK_SIGNALING_FOR_INTEGRINS.html","REACTOME_GRB2_SOS_PROVIDES_LINKAGE_TO_MAPK_SIGNALING_FOR_INTEGRINS")</f>
        <v>REACTOME_GRB2_SOS_PROVIDES_LINKAGE_TO_MAPK_SIGNALING_FOR_INTEGRINS</v>
      </c>
      <c r="C2001" s="4">
        <v>15</v>
      </c>
      <c r="D2001" s="3">
        <v>1.3525339000000001</v>
      </c>
      <c r="E2001" s="1">
        <v>0.11725293000000001</v>
      </c>
      <c r="F2001" s="2">
        <v>0.15303662000000001</v>
      </c>
    </row>
    <row r="2002" spans="1:6" x14ac:dyDescent="0.25">
      <c r="A2002" t="s">
        <v>6</v>
      </c>
      <c r="B2002" s="5" t="str">
        <f>HYPERLINK("http://www.broadinstitute.org/gsea/msigdb/cards/GOBP_NEGATIVE_REGULATION_OF_ACTIN_FILAMENT_BUNDLE_ASSEMBLY.html","GOBP_NEGATIVE_REGULATION_OF_ACTIN_FILAMENT_BUNDLE_ASSEMBLY")</f>
        <v>GOBP_NEGATIVE_REGULATION_OF_ACTIN_FILAMENT_BUNDLE_ASSEMBLY</v>
      </c>
      <c r="C2002" s="4">
        <v>40</v>
      </c>
      <c r="D2002" s="3">
        <v>1.3524467</v>
      </c>
      <c r="E2002" s="1">
        <v>8.2770270000000007E-2</v>
      </c>
      <c r="F2002" s="2">
        <v>0.15303762000000001</v>
      </c>
    </row>
    <row r="2003" spans="1:6" x14ac:dyDescent="0.25">
      <c r="A2003" t="s">
        <v>5</v>
      </c>
      <c r="B2003" s="5" t="str">
        <f>HYPERLINK("http://www.broadinstitute.org/gsea/msigdb/cards/BIOCARTA_NGF_PATHWAY.html","BIOCARTA_NGF_PATHWAY")</f>
        <v>BIOCARTA_NGF_PATHWAY</v>
      </c>
      <c r="C2003" s="4">
        <v>19</v>
      </c>
      <c r="D2003" s="3">
        <v>1.352233</v>
      </c>
      <c r="E2003" s="1">
        <v>9.3587525000000005E-2</v>
      </c>
      <c r="F2003" s="2">
        <v>0.15317349</v>
      </c>
    </row>
    <row r="2004" spans="1:6" x14ac:dyDescent="0.25">
      <c r="A2004" t="s">
        <v>6</v>
      </c>
      <c r="B2004" s="5" t="str">
        <f>HYPERLINK("http://www.broadinstitute.org/gsea/msigdb/cards/GOBP_POSITIVE_REGULATION_OF_EPITHELIAL_TO_MESENCHYMAL_TRANSITION.html","GOBP_POSITIVE_REGULATION_OF_EPITHELIAL_TO_MESENCHYMAL_TRANSITION")</f>
        <v>GOBP_POSITIVE_REGULATION_OF_EPITHELIAL_TO_MESENCHYMAL_TRANSITION</v>
      </c>
      <c r="C2004" s="4">
        <v>54</v>
      </c>
      <c r="D2004" s="3">
        <v>1.3521396000000001</v>
      </c>
      <c r="E2004" s="1">
        <v>6.9354840000000001E-2</v>
      </c>
      <c r="F2004" s="2">
        <v>0.15319662000000001</v>
      </c>
    </row>
    <row r="2005" spans="1:6" x14ac:dyDescent="0.25">
      <c r="A2005" t="s">
        <v>10</v>
      </c>
      <c r="B2005" s="5" t="str">
        <f>HYPERLINK("http://www.broadinstitute.org/gsea/msigdb/cards/REACTOME_ENDOSOMAL_VACUOLAR_PATHWAY.html","REACTOME_ENDOSOMAL_VACUOLAR_PATHWAY")</f>
        <v>REACTOME_ENDOSOMAL_VACUOLAR_PATHWAY</v>
      </c>
      <c r="C2005" s="4">
        <v>17</v>
      </c>
      <c r="D2005" s="3">
        <v>1.3520074</v>
      </c>
      <c r="E2005" s="1">
        <v>0.10787671</v>
      </c>
      <c r="F2005" s="2">
        <v>0.15324077</v>
      </c>
    </row>
    <row r="2006" spans="1:6" x14ac:dyDescent="0.25">
      <c r="A2006" t="s">
        <v>6</v>
      </c>
      <c r="B2006" s="5" t="str">
        <f>HYPERLINK("http://www.broadinstitute.org/gsea/msigdb/cards/GOBP_PLASMA_LIPOPROTEIN_PARTICLE_CLEARANCE.html","GOBP_PLASMA_LIPOPROTEIN_PARTICLE_CLEARANCE")</f>
        <v>GOBP_PLASMA_LIPOPROTEIN_PARTICLE_CLEARANCE</v>
      </c>
      <c r="C2006" s="4">
        <v>38</v>
      </c>
      <c r="D2006" s="3">
        <v>1.3519865</v>
      </c>
      <c r="E2006" s="1">
        <v>7.7854670000000001E-2</v>
      </c>
      <c r="F2006" s="2">
        <v>0.15318646</v>
      </c>
    </row>
    <row r="2007" spans="1:6" x14ac:dyDescent="0.25">
      <c r="A2007" t="s">
        <v>6</v>
      </c>
      <c r="B2007" s="5" t="str">
        <f>HYPERLINK("http://www.broadinstitute.org/gsea/msigdb/cards/GOBP_CEREBRAL_CORTEX_CELL_MIGRATION.html","GOBP_CEREBRAL_CORTEX_CELL_MIGRATION")</f>
        <v>GOBP_CEREBRAL_CORTEX_CELL_MIGRATION</v>
      </c>
      <c r="C2007" s="4">
        <v>54</v>
      </c>
      <c r="D2007" s="3">
        <v>1.3519726999999999</v>
      </c>
      <c r="E2007" s="1">
        <v>8.0645159999999994E-2</v>
      </c>
      <c r="F2007" s="2">
        <v>0.15312621000000001</v>
      </c>
    </row>
    <row r="2008" spans="1:6" x14ac:dyDescent="0.25">
      <c r="A2008" t="s">
        <v>6</v>
      </c>
      <c r="B2008" s="5" t="str">
        <f>HYPERLINK("http://www.broadinstitute.org/gsea/msigdb/cards/GOBP_PROTEIN_KINASE_C_ACTIVATING_G_PROTEIN_COUPLED_RECEPTOR_SIGNALING_PATHWAY.html","GOBP_PROTEIN_KINASE_C_ACTIVATING_G_PROTEIN_COUPLED_RECEPTOR_SIGNALING_PATHWAY")</f>
        <v>GOBP_PROTEIN_KINASE_C_ACTIVATING_G_PROTEIN_COUPLED_RECEPTOR_SIGNALING_PATHWAY</v>
      </c>
      <c r="C2008" s="4">
        <v>26</v>
      </c>
      <c r="D2008" s="3">
        <v>1.3519429999999999</v>
      </c>
      <c r="E2008" s="1">
        <v>9.7199339999999995E-2</v>
      </c>
      <c r="F2008" s="2">
        <v>0.15308551000000001</v>
      </c>
    </row>
    <row r="2009" spans="1:6" x14ac:dyDescent="0.25">
      <c r="A2009" t="s">
        <v>8</v>
      </c>
      <c r="B2009" s="5" t="str">
        <f>HYPERLINK("http://www.broadinstitute.org/gsea/msigdb/cards/GOMF_MANGANESE_ION_BINDING.html","GOMF_MANGANESE_ION_BINDING")</f>
        <v>GOMF_MANGANESE_ION_BINDING</v>
      </c>
      <c r="C2009" s="4">
        <v>62</v>
      </c>
      <c r="D2009" s="3">
        <v>1.3518570999999999</v>
      </c>
      <c r="E2009" s="1">
        <v>7.544141E-2</v>
      </c>
      <c r="F2009" s="2">
        <v>0.15308915000000001</v>
      </c>
    </row>
    <row r="2010" spans="1:6" x14ac:dyDescent="0.25">
      <c r="A2010" t="s">
        <v>6</v>
      </c>
      <c r="B2010" s="5" t="str">
        <f>HYPERLINK("http://www.broadinstitute.org/gsea/msigdb/cards/GOBP_POSITIVE_REGULATION_OF_GLYCOPROTEIN_METABOLIC_PROCESS.html","GOBP_POSITIVE_REGULATION_OF_GLYCOPROTEIN_METABOLIC_PROCESS")</f>
        <v>GOBP_POSITIVE_REGULATION_OF_GLYCOPROTEIN_METABOLIC_PROCESS</v>
      </c>
      <c r="C2010" s="4">
        <v>23</v>
      </c>
      <c r="D2010" s="3">
        <v>1.3514794999999999</v>
      </c>
      <c r="E2010" s="1">
        <v>9.0136049999999995E-2</v>
      </c>
      <c r="F2010" s="2">
        <v>0.15341610999999999</v>
      </c>
    </row>
    <row r="2011" spans="1:6" x14ac:dyDescent="0.25">
      <c r="A2011" t="s">
        <v>6</v>
      </c>
      <c r="B2011" s="5" t="str">
        <f>HYPERLINK("http://www.broadinstitute.org/gsea/msigdb/cards/GOBP_SIGNAL_TRANSDUCTION_IN_ABSENCE_OF_LIGAND.html","GOBP_SIGNAL_TRANSDUCTION_IN_ABSENCE_OF_LIGAND")</f>
        <v>GOBP_SIGNAL_TRANSDUCTION_IN_ABSENCE_OF_LIGAND</v>
      </c>
      <c r="C2011" s="4">
        <v>77</v>
      </c>
      <c r="D2011" s="3">
        <v>1.3514112</v>
      </c>
      <c r="E2011" s="1">
        <v>4.0498443000000002E-2</v>
      </c>
      <c r="F2011" s="2">
        <v>0.15340395000000001</v>
      </c>
    </row>
    <row r="2012" spans="1:6" x14ac:dyDescent="0.25">
      <c r="A2012" t="s">
        <v>6</v>
      </c>
      <c r="B2012" s="5" t="str">
        <f>HYPERLINK("http://www.broadinstitute.org/gsea/msigdb/cards/GOBP_NEGATIVE_REGULATION_OF_PHOSPHATIDYLINOSITOL_3_KINASE_PROTEIN_KINASE_B_SIGNAL_TRANSDUCTION.html","GOBP_NEGATIVE_REGULATION_OF_PHOSPHATIDYLINOSITOL_3_KINASE_PROTEIN_KINASE_B_SIGNAL_TRANSDUCTION")</f>
        <v>GOBP_NEGATIVE_REGULATION_OF_PHOSPHATIDYLINOSITOL_3_KINASE_PROTEIN_KINASE_B_SIGNAL_TRANSDUCTION</v>
      </c>
      <c r="C2012" s="4">
        <v>57</v>
      </c>
      <c r="D2012" s="3">
        <v>1.3510354</v>
      </c>
      <c r="E2012" s="1">
        <v>6.7656759999999996E-2</v>
      </c>
      <c r="F2012" s="2">
        <v>0.15370486999999999</v>
      </c>
    </row>
    <row r="2013" spans="1:6" x14ac:dyDescent="0.25">
      <c r="A2013" t="s">
        <v>6</v>
      </c>
      <c r="B2013" s="5" t="str">
        <f>HYPERLINK("http://www.broadinstitute.org/gsea/msigdb/cards/GOBP_REGULATION_OF_TUMOR_NECROSIS_FACTOR_MEDIATED_SIGNALING_PATHWAY.html","GOBP_REGULATION_OF_TUMOR_NECROSIS_FACTOR_MEDIATED_SIGNALING_PATHWAY")</f>
        <v>GOBP_REGULATION_OF_TUMOR_NECROSIS_FACTOR_MEDIATED_SIGNALING_PATHWAY</v>
      </c>
      <c r="C2013" s="4">
        <v>41</v>
      </c>
      <c r="D2013" s="3">
        <v>1.3508005000000001</v>
      </c>
      <c r="E2013" s="1">
        <v>7.71757E-2</v>
      </c>
      <c r="F2013" s="2">
        <v>0.15387948000000001</v>
      </c>
    </row>
    <row r="2014" spans="1:6" x14ac:dyDescent="0.25">
      <c r="A2014" t="s">
        <v>6</v>
      </c>
      <c r="B2014" s="5" t="str">
        <f>HYPERLINK("http://www.broadinstitute.org/gsea/msigdb/cards/GOBP_IMPORT_ACROSS_PLASMA_MEMBRANE.html","GOBP_IMPORT_ACROSS_PLASMA_MEMBRANE")</f>
        <v>GOBP_IMPORT_ACROSS_PLASMA_MEMBRANE</v>
      </c>
      <c r="C2014" s="4">
        <v>203</v>
      </c>
      <c r="D2014" s="3">
        <v>1.3507676</v>
      </c>
      <c r="E2014" s="1">
        <v>1.1267605E-2</v>
      </c>
      <c r="F2014" s="2">
        <v>0.15382451</v>
      </c>
    </row>
    <row r="2015" spans="1:6" x14ac:dyDescent="0.25">
      <c r="A2015" t="s">
        <v>10</v>
      </c>
      <c r="B2015" s="5" t="str">
        <f>HYPERLINK("http://www.broadinstitute.org/gsea/msigdb/cards/REACTOME_TNFS_BIND_THEIR_PHYSIOLOGICAL_RECEPTORS.html","REACTOME_TNFS_BIND_THEIR_PHYSIOLOGICAL_RECEPTORS")</f>
        <v>REACTOME_TNFS_BIND_THEIR_PHYSIOLOGICAL_RECEPTORS</v>
      </c>
      <c r="C2015" s="4">
        <v>26</v>
      </c>
      <c r="D2015" s="3">
        <v>1.3503205</v>
      </c>
      <c r="E2015" s="1">
        <v>8.6805549999999995E-2</v>
      </c>
      <c r="F2015" s="2">
        <v>0.15420094000000001</v>
      </c>
    </row>
    <row r="2016" spans="1:6" x14ac:dyDescent="0.25">
      <c r="A2016" t="s">
        <v>8</v>
      </c>
      <c r="B2016" s="5" t="str">
        <f>HYPERLINK("http://www.broadinstitute.org/gsea/msigdb/cards/GOMF_TRANSMEMBRANE_RECEPTOR_PROTEIN_KINASE_ACTIVITY.html","GOMF_TRANSMEMBRANE_RECEPTOR_PROTEIN_KINASE_ACTIVITY")</f>
        <v>GOMF_TRANSMEMBRANE_RECEPTOR_PROTEIN_KINASE_ACTIVITY</v>
      </c>
      <c r="C2016" s="4">
        <v>77</v>
      </c>
      <c r="D2016" s="3">
        <v>1.3502213000000001</v>
      </c>
      <c r="E2016" s="1">
        <v>4.9441785000000002E-2</v>
      </c>
      <c r="F2016" s="2">
        <v>0.15421851</v>
      </c>
    </row>
    <row r="2017" spans="1:6" x14ac:dyDescent="0.25">
      <c r="A2017" t="s">
        <v>11</v>
      </c>
      <c r="B2017" s="5" t="str">
        <f>HYPERLINK("http://www.broadinstitute.org/gsea/msigdb/cards/WP_G_PROTEIN_SIGNALING_PATHWAYS.html","WP_G_PROTEIN_SIGNALING_PATHWAYS")</f>
        <v>WP_G_PROTEIN_SIGNALING_PATHWAYS</v>
      </c>
      <c r="C2017" s="4">
        <v>88</v>
      </c>
      <c r="D2017" s="3">
        <v>1.3499289000000001</v>
      </c>
      <c r="E2017" s="1">
        <v>3.2835823E-2</v>
      </c>
      <c r="F2017" s="2">
        <v>0.15442497999999999</v>
      </c>
    </row>
    <row r="2018" spans="1:6" x14ac:dyDescent="0.25">
      <c r="A2018" t="s">
        <v>10</v>
      </c>
      <c r="B2018" s="5" t="str">
        <f>HYPERLINK("http://www.broadinstitute.org/gsea/msigdb/cards/REACTOME_MOLECULES_ASSOCIATED_WITH_ELASTIC_FIBRES.html","REACTOME_MOLECULES_ASSOCIATED_WITH_ELASTIC_FIBRES")</f>
        <v>REACTOME_MOLECULES_ASSOCIATED_WITH_ELASTIC_FIBRES</v>
      </c>
      <c r="C2018" s="4">
        <v>31</v>
      </c>
      <c r="D2018" s="3">
        <v>1.3498829999999999</v>
      </c>
      <c r="E2018" s="1">
        <v>0.10945274000000001</v>
      </c>
      <c r="F2018" s="2">
        <v>0.15440643000000001</v>
      </c>
    </row>
    <row r="2019" spans="1:6" x14ac:dyDescent="0.25">
      <c r="A2019" t="s">
        <v>10</v>
      </c>
      <c r="B2019" s="5" t="str">
        <f>HYPERLINK("http://www.broadinstitute.org/gsea/msigdb/cards/REACTOME_APOPTOTIC_FACTOR_MEDIATED_RESPONSE.html","REACTOME_APOPTOTIC_FACTOR_MEDIATED_RESPONSE")</f>
        <v>REACTOME_APOPTOTIC_FACTOR_MEDIATED_RESPONSE</v>
      </c>
      <c r="C2019" s="4">
        <v>16</v>
      </c>
      <c r="D2019" s="3">
        <v>1.3493881000000001</v>
      </c>
      <c r="E2019" s="1">
        <v>0.104273506</v>
      </c>
      <c r="F2019" s="2">
        <v>0.15484801000000001</v>
      </c>
    </row>
    <row r="2020" spans="1:6" x14ac:dyDescent="0.25">
      <c r="A2020" t="s">
        <v>8</v>
      </c>
      <c r="B2020" s="5" t="str">
        <f>HYPERLINK("http://www.broadinstitute.org/gsea/msigdb/cards/GOMF_DNA_EXONUCLEASE_ACTIVITY.html","GOMF_DNA_EXONUCLEASE_ACTIVITY")</f>
        <v>GOMF_DNA_EXONUCLEASE_ACTIVITY</v>
      </c>
      <c r="C2020" s="4">
        <v>23</v>
      </c>
      <c r="D2020" s="3">
        <v>1.3493462000000001</v>
      </c>
      <c r="E2020" s="1">
        <v>0.11130742</v>
      </c>
      <c r="F2020" s="2">
        <v>0.15481411</v>
      </c>
    </row>
    <row r="2021" spans="1:6" x14ac:dyDescent="0.25">
      <c r="A2021" t="s">
        <v>5</v>
      </c>
      <c r="B2021" s="5" t="str">
        <f>HYPERLINK("http://www.broadinstitute.org/gsea/msigdb/cards/BIOCARTA_TFF_PATHWAY.html","BIOCARTA_TFF_PATHWAY")</f>
        <v>BIOCARTA_TFF_PATHWAY</v>
      </c>
      <c r="C2021" s="4">
        <v>22</v>
      </c>
      <c r="D2021" s="3">
        <v>1.3493326000000001</v>
      </c>
      <c r="E2021" s="1">
        <v>8.2456139999999997E-2</v>
      </c>
      <c r="F2021" s="2">
        <v>0.15475080999999999</v>
      </c>
    </row>
    <row r="2022" spans="1:6" x14ac:dyDescent="0.25">
      <c r="A2022" t="s">
        <v>6</v>
      </c>
      <c r="B2022" s="5" t="str">
        <f>HYPERLINK("http://www.broadinstitute.org/gsea/msigdb/cards/GOBP_RESPONSE_TO_ORGANOPHOSPHORUS.html","GOBP_RESPONSE_TO_ORGANOPHOSPHORUS")</f>
        <v>GOBP_RESPONSE_TO_ORGANOPHOSPHORUS</v>
      </c>
      <c r="C2022" s="4">
        <v>94</v>
      </c>
      <c r="D2022" s="3">
        <v>1.3488443999999999</v>
      </c>
      <c r="E2022" s="1">
        <v>4.0944880000000003E-2</v>
      </c>
      <c r="F2022" s="2">
        <v>0.15520945</v>
      </c>
    </row>
    <row r="2023" spans="1:6" x14ac:dyDescent="0.25">
      <c r="A2023" t="s">
        <v>6</v>
      </c>
      <c r="B2023" s="5" t="str">
        <f>HYPERLINK("http://www.broadinstitute.org/gsea/msigdb/cards/GOBP_POSITIVE_REGULATION_OF_BINDING.html","GOBP_POSITIVE_REGULATION_OF_BINDING")</f>
        <v>GOBP_POSITIVE_REGULATION_OF_BINDING</v>
      </c>
      <c r="C2023" s="4">
        <v>192</v>
      </c>
      <c r="D2023" s="3">
        <v>1.3486594999999999</v>
      </c>
      <c r="E2023" s="1">
        <v>1.5363129E-2</v>
      </c>
      <c r="F2023" s="2">
        <v>0.15531507</v>
      </c>
    </row>
    <row r="2024" spans="1:6" x14ac:dyDescent="0.25">
      <c r="A2024" t="s">
        <v>6</v>
      </c>
      <c r="B2024" s="5" t="str">
        <f>HYPERLINK("http://www.broadinstitute.org/gsea/msigdb/cards/GOBP_L_GLUTAMATE_IMPORT.html","GOBP_L_GLUTAMATE_IMPORT")</f>
        <v>GOBP_L_GLUTAMATE_IMPORT</v>
      </c>
      <c r="C2024" s="4">
        <v>38</v>
      </c>
      <c r="D2024" s="3">
        <v>1.3481243000000001</v>
      </c>
      <c r="E2024" s="1">
        <v>9.1836736000000002E-2</v>
      </c>
      <c r="F2024" s="2">
        <v>0.15579122000000001</v>
      </c>
    </row>
    <row r="2025" spans="1:6" x14ac:dyDescent="0.25">
      <c r="A2025" t="s">
        <v>6</v>
      </c>
      <c r="B2025" s="5" t="str">
        <f>HYPERLINK("http://www.broadinstitute.org/gsea/msigdb/cards/GOBP_REGULATION_OF_SIGNALING_RECEPTOR_ACTIVITY.html","GOBP_REGULATION_OF_SIGNALING_RECEPTOR_ACTIVITY")</f>
        <v>GOBP_REGULATION_OF_SIGNALING_RECEPTOR_ACTIVITY</v>
      </c>
      <c r="C2025" s="4">
        <v>133</v>
      </c>
      <c r="D2025" s="3">
        <v>1.3481107999999999</v>
      </c>
      <c r="E2025" s="1">
        <v>3.1746033999999999E-2</v>
      </c>
      <c r="F2025" s="2">
        <v>0.15573074000000001</v>
      </c>
    </row>
    <row r="2026" spans="1:6" x14ac:dyDescent="0.25">
      <c r="A2026" t="s">
        <v>6</v>
      </c>
      <c r="B2026" s="5" t="str">
        <f>HYPERLINK("http://www.broadinstitute.org/gsea/msigdb/cards/GOBP_CORTICAL_ACTIN_CYTOSKELETON_ORGANIZATION.html","GOBP_CORTICAL_ACTIN_CYTOSKELETON_ORGANIZATION")</f>
        <v>GOBP_CORTICAL_ACTIN_CYTOSKELETON_ORGANIZATION</v>
      </c>
      <c r="C2026" s="4">
        <v>42</v>
      </c>
      <c r="D2026" s="3">
        <v>1.3481004000000001</v>
      </c>
      <c r="E2026" s="1">
        <v>8.0327869999999996E-2</v>
      </c>
      <c r="F2026" s="2">
        <v>0.15566558</v>
      </c>
    </row>
    <row r="2027" spans="1:6" x14ac:dyDescent="0.25">
      <c r="A2027" t="s">
        <v>8</v>
      </c>
      <c r="B2027" s="5" t="str">
        <f>HYPERLINK("http://www.broadinstitute.org/gsea/msigdb/cards/GOMF_NUCLEOSIDE_DIPHOSPHATE_KINASE_ACTIVITY.html","GOMF_NUCLEOSIDE_DIPHOSPHATE_KINASE_ACTIVITY")</f>
        <v>GOMF_NUCLEOSIDE_DIPHOSPHATE_KINASE_ACTIVITY</v>
      </c>
      <c r="C2027" s="4">
        <v>18</v>
      </c>
      <c r="D2027" s="3">
        <v>1.3480718</v>
      </c>
      <c r="E2027" s="1">
        <v>0.11187608</v>
      </c>
      <c r="F2027" s="2">
        <v>0.15562182999999999</v>
      </c>
    </row>
    <row r="2028" spans="1:6" x14ac:dyDescent="0.25">
      <c r="A2028" t="s">
        <v>6</v>
      </c>
      <c r="B2028" s="5" t="str">
        <f>HYPERLINK("http://www.broadinstitute.org/gsea/msigdb/cards/GOBP_POSITIVE_REGULATION_OF_ESTABLISHMENT_OF_PROTEIN_LOCALIZATION.html","GOBP_POSITIVE_REGULATION_OF_ESTABLISHMENT_OF_PROTEIN_LOCALIZATION")</f>
        <v>GOBP_POSITIVE_REGULATION_OF_ESTABLISHMENT_OF_PROTEIN_LOCALIZATION</v>
      </c>
      <c r="C2028" s="4">
        <v>344</v>
      </c>
      <c r="D2028" s="3">
        <v>1.3480468000000001</v>
      </c>
      <c r="E2028" s="1">
        <v>2.5673941999999998E-3</v>
      </c>
      <c r="F2028" s="2">
        <v>0.15556898999999999</v>
      </c>
    </row>
    <row r="2029" spans="1:6" x14ac:dyDescent="0.25">
      <c r="A2029" t="s">
        <v>7</v>
      </c>
      <c r="B2029" s="5" t="str">
        <f>HYPERLINK("http://www.broadinstitute.org/gsea/msigdb/cards/GOCC_BRUSH_BORDER_MEMBRANE.html","GOCC_BRUSH_BORDER_MEMBRANE")</f>
        <v>GOCC_BRUSH_BORDER_MEMBRANE</v>
      </c>
      <c r="C2029" s="4">
        <v>79</v>
      </c>
      <c r="D2029" s="3">
        <v>1.3480456000000001</v>
      </c>
      <c r="E2029" s="1">
        <v>5.0691242999999997E-2</v>
      </c>
      <c r="F2029" s="2">
        <v>0.15549324</v>
      </c>
    </row>
    <row r="2030" spans="1:6" x14ac:dyDescent="0.25">
      <c r="A2030" t="s">
        <v>5</v>
      </c>
      <c r="B2030" s="5" t="str">
        <f>HYPERLINK("http://www.broadinstitute.org/gsea/msigdb/cards/BIOCARTA_AT1R_PATHWAY.html","BIOCARTA_AT1R_PATHWAY")</f>
        <v>BIOCARTA_AT1R_PATHWAY</v>
      </c>
      <c r="C2030" s="4">
        <v>25</v>
      </c>
      <c r="D2030" s="3">
        <v>1.3479970999999999</v>
      </c>
      <c r="E2030" s="1">
        <v>0.11019736500000001</v>
      </c>
      <c r="F2030" s="2">
        <v>0.15546678</v>
      </c>
    </row>
    <row r="2031" spans="1:6" x14ac:dyDescent="0.25">
      <c r="A2031" t="s">
        <v>8</v>
      </c>
      <c r="B2031" s="5" t="str">
        <f>HYPERLINK("http://www.broadinstitute.org/gsea/msigdb/cards/GOMF_PHOSPHATIDYLCHOLINE_TRANSPORTER_ACTIVITY.html","GOMF_PHOSPHATIDYLCHOLINE_TRANSPORTER_ACTIVITY")</f>
        <v>GOMF_PHOSPHATIDYLCHOLINE_TRANSPORTER_ACTIVITY</v>
      </c>
      <c r="C2031" s="4">
        <v>20</v>
      </c>
      <c r="D2031" s="3">
        <v>1.3477714000000001</v>
      </c>
      <c r="E2031" s="1">
        <v>0.11716171</v>
      </c>
      <c r="F2031" s="2">
        <v>0.15562155999999999</v>
      </c>
    </row>
    <row r="2032" spans="1:6" x14ac:dyDescent="0.25">
      <c r="A2032" t="s">
        <v>6</v>
      </c>
      <c r="B2032" s="5" t="str">
        <f>HYPERLINK("http://www.broadinstitute.org/gsea/msigdb/cards/GOBP_MORPHOGENESIS_OF_A_BRANCHING_STRUCTURE.html","GOBP_MORPHOGENESIS_OF_A_BRANCHING_STRUCTURE")</f>
        <v>GOBP_MORPHOGENESIS_OF_A_BRANCHING_STRUCTURE</v>
      </c>
      <c r="C2032" s="4">
        <v>251</v>
      </c>
      <c r="D2032" s="3">
        <v>1.3477520999999999</v>
      </c>
      <c r="E2032" s="1">
        <v>1.0709504999999999E-2</v>
      </c>
      <c r="F2032" s="2">
        <v>0.15556776999999999</v>
      </c>
    </row>
    <row r="2033" spans="1:6" x14ac:dyDescent="0.25">
      <c r="A2033" t="s">
        <v>6</v>
      </c>
      <c r="B2033" s="5" t="str">
        <f>HYPERLINK("http://www.broadinstitute.org/gsea/msigdb/cards/GOBP_MEMBRANE_FUSION.html","GOBP_MEMBRANE_FUSION")</f>
        <v>GOBP_MEMBRANE_FUSION</v>
      </c>
      <c r="C2033" s="4">
        <v>165</v>
      </c>
      <c r="D2033" s="3">
        <v>1.3475999999999999</v>
      </c>
      <c r="E2033" s="1">
        <v>1.8571429E-2</v>
      </c>
      <c r="F2033" s="2">
        <v>0.15565996000000001</v>
      </c>
    </row>
    <row r="2034" spans="1:6" x14ac:dyDescent="0.25">
      <c r="A2034" t="s">
        <v>6</v>
      </c>
      <c r="B2034" s="5" t="str">
        <f>HYPERLINK("http://www.broadinstitute.org/gsea/msigdb/cards/GOBP_VESICLE_MEDIATED_TRANSPORT_TO_THE_PLASMA_MEMBRANE.html","GOBP_VESICLE_MEDIATED_TRANSPORT_TO_THE_PLASMA_MEMBRANE")</f>
        <v>GOBP_VESICLE_MEDIATED_TRANSPORT_TO_THE_PLASMA_MEMBRANE</v>
      </c>
      <c r="C2034" s="4">
        <v>152</v>
      </c>
      <c r="D2034" s="3">
        <v>1.347572</v>
      </c>
      <c r="E2034" s="1">
        <v>3.2577901999999999E-2</v>
      </c>
      <c r="F2034" s="2">
        <v>0.15562329</v>
      </c>
    </row>
    <row r="2035" spans="1:6" x14ac:dyDescent="0.25">
      <c r="A2035" t="s">
        <v>10</v>
      </c>
      <c r="B2035" s="5" t="str">
        <f>HYPERLINK("http://www.broadinstitute.org/gsea/msigdb/cards/REACTOME_RHOG_GTPASE_CYCLE.html","REACTOME_RHOG_GTPASE_CYCLE")</f>
        <v>REACTOME_RHOG_GTPASE_CYCLE</v>
      </c>
      <c r="C2035" s="4">
        <v>70</v>
      </c>
      <c r="D2035" s="3">
        <v>1.3474482000000001</v>
      </c>
      <c r="E2035" s="1">
        <v>6.2809913999999994E-2</v>
      </c>
      <c r="F2035" s="2">
        <v>0.15567839999999999</v>
      </c>
    </row>
    <row r="2036" spans="1:6" x14ac:dyDescent="0.25">
      <c r="A2036" t="s">
        <v>6</v>
      </c>
      <c r="B2036" s="5" t="str">
        <f>HYPERLINK("http://www.broadinstitute.org/gsea/msigdb/cards/GOBP_POSITIVE_REGULATION_OF_LAMELLIPODIUM_ASSEMBLY.html","GOBP_POSITIVE_REGULATION_OF_LAMELLIPODIUM_ASSEMBLY")</f>
        <v>GOBP_POSITIVE_REGULATION_OF_LAMELLIPODIUM_ASSEMBLY</v>
      </c>
      <c r="C2036" s="4">
        <v>30</v>
      </c>
      <c r="D2036" s="3">
        <v>1.3474238000000001</v>
      </c>
      <c r="E2036" s="1">
        <v>8.4175089999999994E-2</v>
      </c>
      <c r="F2036" s="2">
        <v>0.15563004999999999</v>
      </c>
    </row>
    <row r="2037" spans="1:6" x14ac:dyDescent="0.25">
      <c r="A2037" t="s">
        <v>8</v>
      </c>
      <c r="B2037" s="5" t="str">
        <f>HYPERLINK("http://www.broadinstitute.org/gsea/msigdb/cards/GOMF_EFFLUX_TRANSMEMBRANE_TRANSPORTER_ACTIVITY.html","GOMF_EFFLUX_TRANSMEMBRANE_TRANSPORTER_ACTIVITY")</f>
        <v>GOMF_EFFLUX_TRANSMEMBRANE_TRANSPORTER_ACTIVITY</v>
      </c>
      <c r="C2037" s="4">
        <v>18</v>
      </c>
      <c r="D2037" s="3">
        <v>1.3469066999999999</v>
      </c>
      <c r="E2037" s="1">
        <v>8.8888889999999998E-2</v>
      </c>
      <c r="F2037" s="2">
        <v>0.15609401000000001</v>
      </c>
    </row>
    <row r="2038" spans="1:6" x14ac:dyDescent="0.25">
      <c r="A2038" t="s">
        <v>6</v>
      </c>
      <c r="B2038" s="5" t="str">
        <f>HYPERLINK("http://www.broadinstitute.org/gsea/msigdb/cards/GOBP_POSITIVE_REGULATION_OF_PROTEIN_POLYUBIQUITINATION.html","GOBP_POSITIVE_REGULATION_OF_PROTEIN_POLYUBIQUITINATION")</f>
        <v>GOBP_POSITIVE_REGULATION_OF_PROTEIN_POLYUBIQUITINATION</v>
      </c>
      <c r="C2038" s="4">
        <v>20</v>
      </c>
      <c r="D2038" s="3">
        <v>1.3468821</v>
      </c>
      <c r="E2038" s="1">
        <v>0.12341197600000001</v>
      </c>
      <c r="F2038" s="2">
        <v>0.15604654000000001</v>
      </c>
    </row>
    <row r="2039" spans="1:6" x14ac:dyDescent="0.25">
      <c r="A2039" t="s">
        <v>10</v>
      </c>
      <c r="B2039" s="5" t="str">
        <f>HYPERLINK("http://www.broadinstitute.org/gsea/msigdb/cards/REACTOME_TRANSCRIPTIONAL_ACTIVITY_OF_SMAD2_SMAD3_SMAD4_HETEROTRIMER.html","REACTOME_TRANSCRIPTIONAL_ACTIVITY_OF_SMAD2_SMAD3_SMAD4_HETEROTRIMER")</f>
        <v>REACTOME_TRANSCRIPTIONAL_ACTIVITY_OF_SMAD2_SMAD3_SMAD4_HETEROTRIMER</v>
      </c>
      <c r="C2039" s="4">
        <v>39</v>
      </c>
      <c r="D2039" s="3">
        <v>1.3467735000000001</v>
      </c>
      <c r="E2039" s="1">
        <v>9.1525419999999996E-2</v>
      </c>
      <c r="F2039" s="2">
        <v>0.15607641999999999</v>
      </c>
    </row>
    <row r="2040" spans="1:6" x14ac:dyDescent="0.25">
      <c r="A2040" t="s">
        <v>6</v>
      </c>
      <c r="B2040" s="5" t="str">
        <f>HYPERLINK("http://www.broadinstitute.org/gsea/msigdb/cards/GOBP_RENAL_ABSORPTION.html","GOBP_RENAL_ABSORPTION")</f>
        <v>GOBP_RENAL_ABSORPTION</v>
      </c>
      <c r="C2040" s="4">
        <v>33</v>
      </c>
      <c r="D2040" s="3">
        <v>1.3459920000000001</v>
      </c>
      <c r="E2040" s="1">
        <v>9.5158599999999996E-2</v>
      </c>
      <c r="F2040" s="2">
        <v>0.15680663</v>
      </c>
    </row>
    <row r="2041" spans="1:6" x14ac:dyDescent="0.25">
      <c r="A2041" t="s">
        <v>6</v>
      </c>
      <c r="B2041" s="5" t="str">
        <f>HYPERLINK("http://www.broadinstitute.org/gsea/msigdb/cards/GOBP_NEGATIVE_T_CELL_SELECTION.html","GOBP_NEGATIVE_T_CELL_SELECTION")</f>
        <v>GOBP_NEGATIVE_T_CELL_SELECTION</v>
      </c>
      <c r="C2041" s="4">
        <v>15</v>
      </c>
      <c r="D2041" s="3">
        <v>1.3457197999999999</v>
      </c>
      <c r="E2041" s="1">
        <v>0.125</v>
      </c>
      <c r="F2041" s="2">
        <v>0.15702150000000001</v>
      </c>
    </row>
    <row r="2042" spans="1:6" x14ac:dyDescent="0.25">
      <c r="A2042" t="s">
        <v>8</v>
      </c>
      <c r="B2042" s="5" t="str">
        <f>HYPERLINK("http://www.broadinstitute.org/gsea/msigdb/cards/GOMF_SIGNAL_SEQUENCE_BINDING.html","GOMF_SIGNAL_SEQUENCE_BINDING")</f>
        <v>GOMF_SIGNAL_SEQUENCE_BINDING</v>
      </c>
      <c r="C2042" s="4">
        <v>43</v>
      </c>
      <c r="D2042" s="3">
        <v>1.3452630999999999</v>
      </c>
      <c r="E2042" s="1">
        <v>8.108108E-2</v>
      </c>
      <c r="F2042" s="2">
        <v>0.15741262</v>
      </c>
    </row>
    <row r="2043" spans="1:6" x14ac:dyDescent="0.25">
      <c r="A2043" t="s">
        <v>10</v>
      </c>
      <c r="B2043" s="5" t="str">
        <f>HYPERLINK("http://www.broadinstitute.org/gsea/msigdb/cards/REACTOME_CELL_DEATH_SIGNALLING_VIA_NRAGE_NRIF_AND_NADE.html","REACTOME_CELL_DEATH_SIGNALLING_VIA_NRAGE_NRIF_AND_NADE")</f>
        <v>REACTOME_CELL_DEATH_SIGNALLING_VIA_NRAGE_NRIF_AND_NADE</v>
      </c>
      <c r="C2043" s="4">
        <v>69</v>
      </c>
      <c r="D2043" s="3">
        <v>1.3446559</v>
      </c>
      <c r="E2043" s="1">
        <v>5.6726093999999998E-2</v>
      </c>
      <c r="F2043" s="2">
        <v>0.15799657</v>
      </c>
    </row>
    <row r="2044" spans="1:6" x14ac:dyDescent="0.25">
      <c r="A2044" t="s">
        <v>6</v>
      </c>
      <c r="B2044" s="5" t="str">
        <f>HYPERLINK("http://www.broadinstitute.org/gsea/msigdb/cards/GOBP_VIRION_ASSEMBLY.html","GOBP_VIRION_ASSEMBLY")</f>
        <v>GOBP_VIRION_ASSEMBLY</v>
      </c>
      <c r="C2044" s="4">
        <v>26</v>
      </c>
      <c r="D2044" s="3">
        <v>1.3445126000000001</v>
      </c>
      <c r="E2044" s="1">
        <v>0.10166667</v>
      </c>
      <c r="F2044" s="2">
        <v>0.15806340999999999</v>
      </c>
    </row>
    <row r="2045" spans="1:6" x14ac:dyDescent="0.25">
      <c r="A2045" t="s">
        <v>5</v>
      </c>
      <c r="B2045" s="5" t="str">
        <f>HYPERLINK("http://www.broadinstitute.org/gsea/msigdb/cards/BIOCARTA_IGF1_PATHWAY.html","BIOCARTA_IGF1_PATHWAY")</f>
        <v>BIOCARTA_IGF1_PATHWAY</v>
      </c>
      <c r="C2045" s="4">
        <v>22</v>
      </c>
      <c r="D2045" s="3">
        <v>1.3444860000000001</v>
      </c>
      <c r="E2045" s="1">
        <v>0.13148148000000001</v>
      </c>
      <c r="F2045" s="2">
        <v>0.15801096000000001</v>
      </c>
    </row>
    <row r="2046" spans="1:6" x14ac:dyDescent="0.25">
      <c r="A2046" t="s">
        <v>6</v>
      </c>
      <c r="B2046" s="5" t="str">
        <f>HYPERLINK("http://www.broadinstitute.org/gsea/msigdb/cards/GOBP_L_GLUTAMATE_IMPORT_ACROSS_PLASMA_MEMBRANE.html","GOBP_L_GLUTAMATE_IMPORT_ACROSS_PLASMA_MEMBRANE")</f>
        <v>GOBP_L_GLUTAMATE_IMPORT_ACROSS_PLASMA_MEMBRANE</v>
      </c>
      <c r="C2046" s="4">
        <v>16</v>
      </c>
      <c r="D2046" s="3">
        <v>1.3444057</v>
      </c>
      <c r="E2046" s="1">
        <v>9.810671E-2</v>
      </c>
      <c r="F2046" s="2">
        <v>0.15801424999999999</v>
      </c>
    </row>
    <row r="2047" spans="1:6" x14ac:dyDescent="0.25">
      <c r="A2047" t="s">
        <v>6</v>
      </c>
      <c r="B2047" s="5" t="str">
        <f>HYPERLINK("http://www.broadinstitute.org/gsea/msigdb/cards/GOBP_RHO_PROTEIN_SIGNAL_TRANSDUCTION.html","GOBP_RHO_PROTEIN_SIGNAL_TRANSDUCTION")</f>
        <v>GOBP_RHO_PROTEIN_SIGNAL_TRANSDUCTION</v>
      </c>
      <c r="C2047" s="4">
        <v>136</v>
      </c>
      <c r="D2047" s="3">
        <v>1.344293</v>
      </c>
      <c r="E2047" s="1">
        <v>3.6982250000000001E-2</v>
      </c>
      <c r="F2047" s="2">
        <v>0.15805458999999999</v>
      </c>
    </row>
    <row r="2048" spans="1:6" x14ac:dyDescent="0.25">
      <c r="A2048" t="s">
        <v>6</v>
      </c>
      <c r="B2048" s="5" t="str">
        <f>HYPERLINK("http://www.broadinstitute.org/gsea/msigdb/cards/GOBP_NEGATIVE_REGULATION_OF_PROTEIN_TYROSINE_KINASE_ACTIVITY.html","GOBP_NEGATIVE_REGULATION_OF_PROTEIN_TYROSINE_KINASE_ACTIVITY")</f>
        <v>GOBP_NEGATIVE_REGULATION_OF_PROTEIN_TYROSINE_KINASE_ACTIVITY</v>
      </c>
      <c r="C2048" s="4">
        <v>29</v>
      </c>
      <c r="D2048" s="3">
        <v>1.3441052</v>
      </c>
      <c r="E2048" s="1">
        <v>9.0121313999999994E-2</v>
      </c>
      <c r="F2048" s="2">
        <v>0.15817972</v>
      </c>
    </row>
    <row r="2049" spans="1:6" x14ac:dyDescent="0.25">
      <c r="A2049" t="s">
        <v>10</v>
      </c>
      <c r="B2049" s="5" t="str">
        <f>HYPERLINK("http://www.broadinstitute.org/gsea/msigdb/cards/REACTOME_ER_TO_GOLGI_ANTEROGRADE_TRANSPORT.html","REACTOME_ER_TO_GOLGI_ANTEROGRADE_TRANSPORT")</f>
        <v>REACTOME_ER_TO_GOLGI_ANTEROGRADE_TRANSPORT</v>
      </c>
      <c r="C2049" s="4">
        <v>146</v>
      </c>
      <c r="D2049" s="3">
        <v>1.3439342000000001</v>
      </c>
      <c r="E2049" s="1">
        <v>3.1593410000000002E-2</v>
      </c>
      <c r="F2049" s="2">
        <v>0.15828285</v>
      </c>
    </row>
    <row r="2050" spans="1:6" x14ac:dyDescent="0.25">
      <c r="A2050" t="s">
        <v>6</v>
      </c>
      <c r="B2050" s="5" t="str">
        <f>HYPERLINK("http://www.broadinstitute.org/gsea/msigdb/cards/GOBP_VASCULAR_ASSOCIATED_SMOOTH_MUSCLE_CELL_DEVELOPMENT.html","GOBP_VASCULAR_ASSOCIATED_SMOOTH_MUSCLE_CELL_DEVELOPMENT")</f>
        <v>GOBP_VASCULAR_ASSOCIATED_SMOOTH_MUSCLE_CELL_DEVELOPMENT</v>
      </c>
      <c r="C2050" s="4">
        <v>15</v>
      </c>
      <c r="D2050" s="3">
        <v>1.3432413000000001</v>
      </c>
      <c r="E2050" s="1">
        <v>0.10885609</v>
      </c>
      <c r="F2050" s="2">
        <v>0.15891619000000001</v>
      </c>
    </row>
    <row r="2051" spans="1:6" x14ac:dyDescent="0.25">
      <c r="A2051" t="s">
        <v>6</v>
      </c>
      <c r="B2051" s="5" t="str">
        <f>HYPERLINK("http://www.broadinstitute.org/gsea/msigdb/cards/GOBP_BENZENE_CONTAINING_COMPOUND_METABOLIC_PROCESS.html","GOBP_BENZENE_CONTAINING_COMPOUND_METABOLIC_PROCESS")</f>
        <v>GOBP_BENZENE_CONTAINING_COMPOUND_METABOLIC_PROCESS</v>
      </c>
      <c r="C2051" s="4">
        <v>25</v>
      </c>
      <c r="D2051" s="3">
        <v>1.3431495</v>
      </c>
      <c r="E2051" s="1">
        <v>0.1005291</v>
      </c>
      <c r="F2051" s="2">
        <v>0.15893441</v>
      </c>
    </row>
    <row r="2052" spans="1:6" x14ac:dyDescent="0.25">
      <c r="A2052" t="s">
        <v>6</v>
      </c>
      <c r="B2052" s="5" t="str">
        <f>HYPERLINK("http://www.broadinstitute.org/gsea/msigdb/cards/GOBP_REGULATION_OF_CALCIUM_ION_TRANSMEMBRANE_TRANSPORT.html","GOBP_REGULATION_OF_CALCIUM_ION_TRANSMEMBRANE_TRANSPORT")</f>
        <v>GOBP_REGULATION_OF_CALCIUM_ION_TRANSMEMBRANE_TRANSPORT</v>
      </c>
      <c r="C2052" s="4">
        <v>196</v>
      </c>
      <c r="D2052" s="3">
        <v>1.3428903999999999</v>
      </c>
      <c r="E2052" s="1">
        <v>2.5568181999999998E-2</v>
      </c>
      <c r="F2052" s="2">
        <v>0.15915399999999999</v>
      </c>
    </row>
    <row r="2053" spans="1:6" x14ac:dyDescent="0.25">
      <c r="A2053" t="s">
        <v>6</v>
      </c>
      <c r="B2053" s="5" t="str">
        <f>HYPERLINK("http://www.broadinstitute.org/gsea/msigdb/cards/GOBP_POSITIVE_REGULATION_OF_B_CELL_PROLIFERATION.html","GOBP_POSITIVE_REGULATION_OF_B_CELL_PROLIFERATION")</f>
        <v>GOBP_POSITIVE_REGULATION_OF_B_CELL_PROLIFERATION</v>
      </c>
      <c r="C2053" s="4">
        <v>46</v>
      </c>
      <c r="D2053" s="3">
        <v>1.3424885</v>
      </c>
      <c r="E2053" s="1">
        <v>7.6923080000000005E-2</v>
      </c>
      <c r="F2053" s="2">
        <v>0.15951191000000001</v>
      </c>
    </row>
    <row r="2054" spans="1:6" x14ac:dyDescent="0.25">
      <c r="A2054" t="s">
        <v>6</v>
      </c>
      <c r="B2054" s="5" t="str">
        <f>HYPERLINK("http://www.broadinstitute.org/gsea/msigdb/cards/GOBP_ENDOSOME_ORGANIZATION.html","GOBP_ENDOSOME_ORGANIZATION")</f>
        <v>GOBP_ENDOSOME_ORGANIZATION</v>
      </c>
      <c r="C2054" s="4">
        <v>68</v>
      </c>
      <c r="D2054" s="3">
        <v>1.3424087</v>
      </c>
      <c r="E2054" s="1">
        <v>5.7542767000000002E-2</v>
      </c>
      <c r="F2054" s="2">
        <v>0.15951552999999999</v>
      </c>
    </row>
    <row r="2055" spans="1:6" x14ac:dyDescent="0.25">
      <c r="A2055" t="s">
        <v>8</v>
      </c>
      <c r="B2055" s="5" t="str">
        <f>HYPERLINK("http://www.broadinstitute.org/gsea/msigdb/cards/GOMF_HEXOSAMINIDASE_ACTIVITY.html","GOMF_HEXOSAMINIDASE_ACTIVITY")</f>
        <v>GOMF_HEXOSAMINIDASE_ACTIVITY</v>
      </c>
      <c r="C2055" s="4">
        <v>16</v>
      </c>
      <c r="D2055" s="3">
        <v>1.3423289</v>
      </c>
      <c r="E2055" s="1">
        <v>0.13109244</v>
      </c>
      <c r="F2055" s="2">
        <v>0.15952640000000001</v>
      </c>
    </row>
    <row r="2056" spans="1:6" x14ac:dyDescent="0.25">
      <c r="A2056" t="s">
        <v>6</v>
      </c>
      <c r="B2056" s="5" t="str">
        <f>HYPERLINK("http://www.broadinstitute.org/gsea/msigdb/cards/GOBP_REGENERATION.html","GOBP_REGENERATION")</f>
        <v>GOBP_REGENERATION</v>
      </c>
      <c r="C2056" s="4">
        <v>161</v>
      </c>
      <c r="D2056" s="3">
        <v>1.3422365000000001</v>
      </c>
      <c r="E2056" s="1">
        <v>1.7341039999999999E-2</v>
      </c>
      <c r="F2056" s="2">
        <v>0.15953885000000001</v>
      </c>
    </row>
    <row r="2057" spans="1:6" x14ac:dyDescent="0.25">
      <c r="A2057" t="s">
        <v>6</v>
      </c>
      <c r="B2057" s="5" t="str">
        <f>HYPERLINK("http://www.broadinstitute.org/gsea/msigdb/cards/GOBP_PROTEIN_POLYMERIZATION.html","GOBP_PROTEIN_POLYMERIZATION")</f>
        <v>GOBP_PROTEIN_POLYMERIZATION</v>
      </c>
      <c r="C2057" s="4">
        <v>274</v>
      </c>
      <c r="D2057" s="3">
        <v>1.3422225999999999</v>
      </c>
      <c r="E2057" s="1">
        <v>1.2E-2</v>
      </c>
      <c r="F2057" s="2">
        <v>0.15947546000000001</v>
      </c>
    </row>
    <row r="2058" spans="1:6" x14ac:dyDescent="0.25">
      <c r="A2058" t="s">
        <v>6</v>
      </c>
      <c r="B2058" s="5" t="str">
        <f>HYPERLINK("http://www.broadinstitute.org/gsea/msigdb/cards/GOBP_RESPONSE_TO_VITAMIN.html","GOBP_RESPONSE_TO_VITAMIN")</f>
        <v>GOBP_RESPONSE_TO_VITAMIN</v>
      </c>
      <c r="C2058" s="4">
        <v>35</v>
      </c>
      <c r="D2058" s="3">
        <v>1.3421723999999999</v>
      </c>
      <c r="E2058" s="1">
        <v>9.2013890000000001E-2</v>
      </c>
      <c r="F2058" s="2">
        <v>0.15944473000000001</v>
      </c>
    </row>
    <row r="2059" spans="1:6" x14ac:dyDescent="0.25">
      <c r="A2059" t="s">
        <v>6</v>
      </c>
      <c r="B2059" s="5" t="str">
        <f>HYPERLINK("http://www.broadinstitute.org/gsea/msigdb/cards/GOBP_PHAGOSOME_MATURATION.html","GOBP_PHAGOSOME_MATURATION")</f>
        <v>GOBP_PHAGOSOME_MATURATION</v>
      </c>
      <c r="C2059" s="4">
        <v>29</v>
      </c>
      <c r="D2059" s="3">
        <v>1.341861</v>
      </c>
      <c r="E2059" s="1">
        <v>9.1065295000000004E-2</v>
      </c>
      <c r="F2059" s="2">
        <v>0.15968858999999999</v>
      </c>
    </row>
    <row r="2060" spans="1:6" x14ac:dyDescent="0.25">
      <c r="A2060" t="s">
        <v>7</v>
      </c>
      <c r="B2060" s="5" t="str">
        <f>HYPERLINK("http://www.broadinstitute.org/gsea/msigdb/cards/GOCC_CIS_GOLGI_NETWORK_MEMBRANE.html","GOCC_CIS_GOLGI_NETWORK_MEMBRANE")</f>
        <v>GOCC_CIS_GOLGI_NETWORK_MEMBRANE</v>
      </c>
      <c r="C2060" s="4">
        <v>18</v>
      </c>
      <c r="D2060" s="3">
        <v>1.3415151999999999</v>
      </c>
      <c r="E2060" s="1">
        <v>0.117338</v>
      </c>
      <c r="F2060" s="2">
        <v>0.15996487000000001</v>
      </c>
    </row>
    <row r="2061" spans="1:6" x14ac:dyDescent="0.25">
      <c r="A2061" t="s">
        <v>6</v>
      </c>
      <c r="B2061" s="5" t="str">
        <f>HYPERLINK("http://www.broadinstitute.org/gsea/msigdb/cards/GOBP_NEGATIVE_REGULATION_OF_AUTOPHAGY.html","GOBP_NEGATIVE_REGULATION_OF_AUTOPHAGY")</f>
        <v>GOBP_NEGATIVE_REGULATION_OF_AUTOPHAGY</v>
      </c>
      <c r="C2061" s="4">
        <v>79</v>
      </c>
      <c r="D2061" s="3">
        <v>1.3409625999999999</v>
      </c>
      <c r="E2061" s="1">
        <v>5.059524E-2</v>
      </c>
      <c r="F2061" s="2">
        <v>0.16045131000000001</v>
      </c>
    </row>
    <row r="2062" spans="1:6" x14ac:dyDescent="0.25">
      <c r="A2062" t="s">
        <v>10</v>
      </c>
      <c r="B2062" s="5" t="str">
        <f>HYPERLINK("http://www.broadinstitute.org/gsea/msigdb/cards/REACTOME_DOWNREGULATION_OF_ERBB2_SIGNALING.html","REACTOME_DOWNREGULATION_OF_ERBB2_SIGNALING")</f>
        <v>REACTOME_DOWNREGULATION_OF_ERBB2_SIGNALING</v>
      </c>
      <c r="C2062" s="4">
        <v>26</v>
      </c>
      <c r="D2062" s="3">
        <v>1.3408774000000001</v>
      </c>
      <c r="E2062" s="1">
        <v>0.110516936</v>
      </c>
      <c r="F2062" s="2">
        <v>0.16047074</v>
      </c>
    </row>
    <row r="2063" spans="1:6" x14ac:dyDescent="0.25">
      <c r="A2063" t="s">
        <v>6</v>
      </c>
      <c r="B2063" s="5" t="str">
        <f>HYPERLINK("http://www.broadinstitute.org/gsea/msigdb/cards/GOBP_POSITIVE_REGULATION_OF_LIPID_TRANSPORT.html","GOBP_POSITIVE_REGULATION_OF_LIPID_TRANSPORT")</f>
        <v>GOBP_POSITIVE_REGULATION_OF_LIPID_TRANSPORT</v>
      </c>
      <c r="C2063" s="4">
        <v>100</v>
      </c>
      <c r="D2063" s="3">
        <v>1.3408296</v>
      </c>
      <c r="E2063" s="1">
        <v>4.054054E-2</v>
      </c>
      <c r="F2063" s="2">
        <v>0.16044232</v>
      </c>
    </row>
    <row r="2064" spans="1:6" x14ac:dyDescent="0.25">
      <c r="A2064" t="s">
        <v>6</v>
      </c>
      <c r="B2064" s="5" t="str">
        <f>HYPERLINK("http://www.broadinstitute.org/gsea/msigdb/cards/GOBP_HYDROGEN_PEROXIDE_BIOSYNTHETIC_PROCESS.html","GOBP_HYDROGEN_PEROXIDE_BIOSYNTHETIC_PROCESS")</f>
        <v>GOBP_HYDROGEN_PEROXIDE_BIOSYNTHETIC_PROCESS</v>
      </c>
      <c r="C2064" s="4">
        <v>19</v>
      </c>
      <c r="D2064" s="3">
        <v>1.3407598999999999</v>
      </c>
      <c r="E2064" s="1">
        <v>0.12241378999999999</v>
      </c>
      <c r="F2064" s="2">
        <v>0.16043651</v>
      </c>
    </row>
    <row r="2065" spans="1:6" x14ac:dyDescent="0.25">
      <c r="A2065" t="s">
        <v>5</v>
      </c>
      <c r="B2065" s="5" t="str">
        <f>HYPERLINK("http://www.broadinstitute.org/gsea/msigdb/cards/BIOCARTA_INTRINSIC_PATHWAY.html","BIOCARTA_INTRINSIC_PATHWAY")</f>
        <v>BIOCARTA_INTRINSIC_PATHWAY</v>
      </c>
      <c r="C2065" s="4">
        <v>23</v>
      </c>
      <c r="D2065" s="3">
        <v>1.3402623</v>
      </c>
      <c r="E2065" s="1">
        <v>0.119584054</v>
      </c>
      <c r="F2065" s="2">
        <v>0.16089286</v>
      </c>
    </row>
    <row r="2066" spans="1:6" x14ac:dyDescent="0.25">
      <c r="A2066" t="s">
        <v>6</v>
      </c>
      <c r="B2066" s="5" t="str">
        <f>HYPERLINK("http://www.broadinstitute.org/gsea/msigdb/cards/GOBP_PHOSPHOLIPID_DEPHOSPHORYLATION.html","GOBP_PHOSPHOLIPID_DEPHOSPHORYLATION")</f>
        <v>GOBP_PHOSPHOLIPID_DEPHOSPHORYLATION</v>
      </c>
      <c r="C2066" s="4">
        <v>39</v>
      </c>
      <c r="D2066" s="3">
        <v>1.3396218</v>
      </c>
      <c r="E2066" s="1">
        <v>9.3137259999999999E-2</v>
      </c>
      <c r="F2066" s="2">
        <v>0.16149352</v>
      </c>
    </row>
    <row r="2067" spans="1:6" x14ac:dyDescent="0.25">
      <c r="A2067" t="s">
        <v>8</v>
      </c>
      <c r="B2067" s="5" t="str">
        <f>HYPERLINK("http://www.broadinstitute.org/gsea/msigdb/cards/GOMF_CYSTEINE_TYPE_ENDOPEPTIDASE_INHIBITOR_ACTIVITY.html","GOMF_CYSTEINE_TYPE_ENDOPEPTIDASE_INHIBITOR_ACTIVITY")</f>
        <v>GOMF_CYSTEINE_TYPE_ENDOPEPTIDASE_INHIBITOR_ACTIVITY</v>
      </c>
      <c r="C2067" s="4">
        <v>36</v>
      </c>
      <c r="D2067" s="3">
        <v>1.3394127</v>
      </c>
      <c r="E2067" s="1">
        <v>7.5040780000000001E-2</v>
      </c>
      <c r="F2067" s="2">
        <v>0.16165637999999999</v>
      </c>
    </row>
    <row r="2068" spans="1:6" x14ac:dyDescent="0.25">
      <c r="A2068" t="s">
        <v>10</v>
      </c>
      <c r="B2068" s="5" t="str">
        <f>HYPERLINK("http://www.broadinstitute.org/gsea/msigdb/cards/REACTOME_CARGO_RECOGNITION_FOR_CLATHRIN_MEDIATED_ENDOCYTOSIS.html","REACTOME_CARGO_RECOGNITION_FOR_CLATHRIN_MEDIATED_ENDOCYTOSIS")</f>
        <v>REACTOME_CARGO_RECOGNITION_FOR_CLATHRIN_MEDIATED_ENDOCYTOSIS</v>
      </c>
      <c r="C2068" s="4">
        <v>101</v>
      </c>
      <c r="D2068" s="3">
        <v>1.3389816000000001</v>
      </c>
      <c r="E2068" s="1">
        <v>4.7040973E-2</v>
      </c>
      <c r="F2068" s="2">
        <v>0.16205026</v>
      </c>
    </row>
    <row r="2069" spans="1:6" x14ac:dyDescent="0.25">
      <c r="A2069" t="s">
        <v>6</v>
      </c>
      <c r="B2069" s="5" t="str">
        <f>HYPERLINK("http://www.broadinstitute.org/gsea/msigdb/cards/GOBP_NUCLEAR_MIGRATION.html","GOBP_NUCLEAR_MIGRATION")</f>
        <v>GOBP_NUCLEAR_MIGRATION</v>
      </c>
      <c r="C2069" s="4">
        <v>34</v>
      </c>
      <c r="D2069" s="3">
        <v>1.3388549999999999</v>
      </c>
      <c r="E2069" s="1">
        <v>8.4317030000000001E-2</v>
      </c>
      <c r="F2069" s="2">
        <v>0.16209507000000001</v>
      </c>
    </row>
    <row r="2070" spans="1:6" x14ac:dyDescent="0.25">
      <c r="A2070" t="s">
        <v>5</v>
      </c>
      <c r="B2070" s="5" t="str">
        <f>HYPERLINK("http://www.broadinstitute.org/gsea/msigdb/cards/BIOCARTA_TCR_PATHWAY.html","BIOCARTA_TCR_PATHWAY")</f>
        <v>BIOCARTA_TCR_PATHWAY</v>
      </c>
      <c r="C2070" s="4">
        <v>41</v>
      </c>
      <c r="D2070" s="3">
        <v>1.3387420000000001</v>
      </c>
      <c r="E2070" s="1">
        <v>8.9850250000000007E-2</v>
      </c>
      <c r="F2070" s="2">
        <v>0.16214408</v>
      </c>
    </row>
    <row r="2071" spans="1:6" x14ac:dyDescent="0.25">
      <c r="A2071" t="s">
        <v>6</v>
      </c>
      <c r="B2071" s="5" t="str">
        <f>HYPERLINK("http://www.broadinstitute.org/gsea/msigdb/cards/GOBP_CHONDROITIN_SULFATE_PROTEOGLYCAN_METABOLIC_PROCESS.html","GOBP_CHONDROITIN_SULFATE_PROTEOGLYCAN_METABOLIC_PROCESS")</f>
        <v>GOBP_CHONDROITIN_SULFATE_PROTEOGLYCAN_METABOLIC_PROCESS</v>
      </c>
      <c r="C2071" s="4">
        <v>33</v>
      </c>
      <c r="D2071" s="3">
        <v>1.3386865999999999</v>
      </c>
      <c r="E2071" s="1">
        <v>9.4841930000000005E-2</v>
      </c>
      <c r="F2071" s="2">
        <v>0.16213330000000001</v>
      </c>
    </row>
    <row r="2072" spans="1:6" x14ac:dyDescent="0.25">
      <c r="A2072" t="s">
        <v>8</v>
      </c>
      <c r="B2072" s="5" t="str">
        <f>HYPERLINK("http://www.broadinstitute.org/gsea/msigdb/cards/GOMF_CALCIUM_DEPENDENT_PROTEIN_BINDING.html","GOMF_CALCIUM_DEPENDENT_PROTEIN_BINDING")</f>
        <v>GOMF_CALCIUM_DEPENDENT_PROTEIN_BINDING</v>
      </c>
      <c r="C2072" s="4">
        <v>87</v>
      </c>
      <c r="D2072" s="3">
        <v>1.3385009000000001</v>
      </c>
      <c r="E2072" s="1">
        <v>5.8103975000000002E-2</v>
      </c>
      <c r="F2072" s="2">
        <v>0.16225481</v>
      </c>
    </row>
    <row r="2073" spans="1:6" x14ac:dyDescent="0.25">
      <c r="A2073" t="s">
        <v>6</v>
      </c>
      <c r="B2073" s="5" t="str">
        <f>HYPERLINK("http://www.broadinstitute.org/gsea/msigdb/cards/GOBP_REGULATION_OF_BIOMINERAL_TISSUE_DEVELOPMENT.html","GOBP_REGULATION_OF_BIOMINERAL_TISSUE_DEVELOPMENT")</f>
        <v>GOBP_REGULATION_OF_BIOMINERAL_TISSUE_DEVELOPMENT</v>
      </c>
      <c r="C2073" s="4">
        <v>104</v>
      </c>
      <c r="D2073" s="3">
        <v>1.3378264</v>
      </c>
      <c r="E2073" s="1">
        <v>4.2319750000000003E-2</v>
      </c>
      <c r="F2073" s="2">
        <v>0.16288710000000001</v>
      </c>
    </row>
    <row r="2074" spans="1:6" x14ac:dyDescent="0.25">
      <c r="A2074" t="s">
        <v>10</v>
      </c>
      <c r="B2074" s="5" t="str">
        <f>HYPERLINK("http://www.broadinstitute.org/gsea/msigdb/cards/REACTOME_EPHB_MEDIATED_FORWARD_SIGNALING.html","REACTOME_EPHB_MEDIATED_FORWARD_SIGNALING")</f>
        <v>REACTOME_EPHB_MEDIATED_FORWARD_SIGNALING</v>
      </c>
      <c r="C2074" s="4">
        <v>36</v>
      </c>
      <c r="D2074" s="3">
        <v>1.3376709</v>
      </c>
      <c r="E2074" s="1">
        <v>8.1597223999999996E-2</v>
      </c>
      <c r="F2074" s="2">
        <v>0.16298683</v>
      </c>
    </row>
    <row r="2075" spans="1:6" x14ac:dyDescent="0.25">
      <c r="A2075" t="s">
        <v>6</v>
      </c>
      <c r="B2075" s="5" t="str">
        <f>HYPERLINK("http://www.broadinstitute.org/gsea/msigdb/cards/GOBP_PURINE_NUCLEOSIDE_MONOPHOSPHATE_METABOLIC_PROCESS.html","GOBP_PURINE_NUCLEOSIDE_MONOPHOSPHATE_METABOLIC_PROCESS")</f>
        <v>GOBP_PURINE_NUCLEOSIDE_MONOPHOSPHATE_METABOLIC_PROCESS</v>
      </c>
      <c r="C2075" s="4">
        <v>40</v>
      </c>
      <c r="D2075" s="3">
        <v>1.3375265999999999</v>
      </c>
      <c r="E2075" s="1">
        <v>8.7102175000000004E-2</v>
      </c>
      <c r="F2075" s="2">
        <v>0.16307372000000001</v>
      </c>
    </row>
    <row r="2076" spans="1:6" x14ac:dyDescent="0.25">
      <c r="A2076" t="s">
        <v>6</v>
      </c>
      <c r="B2076" s="5" t="str">
        <f>HYPERLINK("http://www.broadinstitute.org/gsea/msigdb/cards/GOBP_ADAPTATION_OF_SIGNALING_PATHWAY.html","GOBP_ADAPTATION_OF_SIGNALING_PATHWAY")</f>
        <v>GOBP_ADAPTATION_OF_SIGNALING_PATHWAY</v>
      </c>
      <c r="C2076" s="4">
        <v>33</v>
      </c>
      <c r="D2076" s="3">
        <v>1.3370385</v>
      </c>
      <c r="E2076" s="1">
        <v>9.4339623999999997E-2</v>
      </c>
      <c r="F2076" s="2">
        <v>0.16355412999999999</v>
      </c>
    </row>
    <row r="2077" spans="1:6" x14ac:dyDescent="0.25">
      <c r="A2077" t="s">
        <v>8</v>
      </c>
      <c r="B2077" s="5" t="str">
        <f>HYPERLINK("http://www.broadinstitute.org/gsea/msigdb/cards/GOMF_CARBON_CARBON_LYASE_ACTIVITY.html","GOMF_CARBON_CARBON_LYASE_ACTIVITY")</f>
        <v>GOMF_CARBON_CARBON_LYASE_ACTIVITY</v>
      </c>
      <c r="C2077" s="4">
        <v>52</v>
      </c>
      <c r="D2077" s="3">
        <v>1.3366255</v>
      </c>
      <c r="E2077" s="1">
        <v>8.4243369999999998E-2</v>
      </c>
      <c r="F2077" s="2">
        <v>0.16393046</v>
      </c>
    </row>
    <row r="2078" spans="1:6" x14ac:dyDescent="0.25">
      <c r="A2078" t="s">
        <v>6</v>
      </c>
      <c r="B2078" s="5" t="str">
        <f>HYPERLINK("http://www.broadinstitute.org/gsea/msigdb/cards/GOBP_T_CELL_DIFFERENTIATION_IN_THYMUS.html","GOBP_T_CELL_DIFFERENTIATION_IN_THYMUS")</f>
        <v>GOBP_T_CELL_DIFFERENTIATION_IN_THYMUS</v>
      </c>
      <c r="C2078" s="4">
        <v>107</v>
      </c>
      <c r="D2078" s="3">
        <v>1.3365526999999999</v>
      </c>
      <c r="E2078" s="1">
        <v>4.496124E-2</v>
      </c>
      <c r="F2078" s="2">
        <v>0.16392921999999999</v>
      </c>
    </row>
    <row r="2079" spans="1:6" x14ac:dyDescent="0.25">
      <c r="A2079" t="s">
        <v>6</v>
      </c>
      <c r="B2079" s="5" t="str">
        <f>HYPERLINK("http://www.broadinstitute.org/gsea/msigdb/cards/GOBP_VESICLE_MEDIATED_TRANSPORT_BETWEEN_ENDOSOMAL_COMPARTMENTS.html","GOBP_VESICLE_MEDIATED_TRANSPORT_BETWEEN_ENDOSOMAL_COMPARTMENTS")</f>
        <v>GOBP_VESICLE_MEDIATED_TRANSPORT_BETWEEN_ENDOSOMAL_COMPARTMENTS</v>
      </c>
      <c r="C2079" s="4">
        <v>46</v>
      </c>
      <c r="D2079" s="3">
        <v>1.3364229999999999</v>
      </c>
      <c r="E2079" s="1">
        <v>8.4828710000000002E-2</v>
      </c>
      <c r="F2079" s="2">
        <v>0.16397761</v>
      </c>
    </row>
    <row r="2080" spans="1:6" x14ac:dyDescent="0.25">
      <c r="A2080" t="s">
        <v>10</v>
      </c>
      <c r="B2080" s="5" t="str">
        <f>HYPERLINK("http://www.broadinstitute.org/gsea/msigdb/cards/REACTOME_REGULATION_OF_INSULIN_SECRETION.html","REACTOME_REGULATION_OF_INSULIN_SECRETION")</f>
        <v>REACTOME_REGULATION_OF_INSULIN_SECRETION</v>
      </c>
      <c r="C2080" s="4">
        <v>58</v>
      </c>
      <c r="D2080" s="3">
        <v>1.3363277</v>
      </c>
      <c r="E2080" s="1">
        <v>7.1428574999999994E-2</v>
      </c>
      <c r="F2080" s="2">
        <v>0.16399570999999999</v>
      </c>
    </row>
    <row r="2081" spans="1:6" x14ac:dyDescent="0.25">
      <c r="A2081" t="s">
        <v>7</v>
      </c>
      <c r="B2081" s="5" t="str">
        <f>HYPERLINK("http://www.broadinstitute.org/gsea/msigdb/cards/GOCC_SECONDARY_LYSOSOME.html","GOCC_SECONDARY_LYSOSOME")</f>
        <v>GOCC_SECONDARY_LYSOSOME</v>
      </c>
      <c r="C2081" s="4">
        <v>18</v>
      </c>
      <c r="D2081" s="3">
        <v>1.3361628999999999</v>
      </c>
      <c r="E2081" s="1">
        <v>0.12182741</v>
      </c>
      <c r="F2081" s="2">
        <v>0.16409087</v>
      </c>
    </row>
    <row r="2082" spans="1:6" x14ac:dyDescent="0.25">
      <c r="A2082" t="s">
        <v>6</v>
      </c>
      <c r="B2082" s="5" t="str">
        <f>HYPERLINK("http://www.broadinstitute.org/gsea/msigdb/cards/GOBP_POSITIVE_REGULATION_OF_GLUCOSE_IMPORT.html","GOBP_POSITIVE_REGULATION_OF_GLUCOSE_IMPORT")</f>
        <v>GOBP_POSITIVE_REGULATION_OF_GLUCOSE_IMPORT</v>
      </c>
      <c r="C2082" s="4">
        <v>41</v>
      </c>
      <c r="D2082" s="3">
        <v>1.3358489</v>
      </c>
      <c r="E2082" s="1">
        <v>9.7133756000000002E-2</v>
      </c>
      <c r="F2082" s="2">
        <v>0.16433034999999999</v>
      </c>
    </row>
    <row r="2083" spans="1:6" x14ac:dyDescent="0.25">
      <c r="A2083" t="s">
        <v>10</v>
      </c>
      <c r="B2083" s="5" t="str">
        <f>HYPERLINK("http://www.broadinstitute.org/gsea/msigdb/cards/REACTOME_METABOLISM_OF_VITAMINS_AND_COFACTORS.html","REACTOME_METABOLISM_OF_VITAMINS_AND_COFACTORS")</f>
        <v>REACTOME_METABOLISM_OF_VITAMINS_AND_COFACTORS</v>
      </c>
      <c r="C2083" s="4">
        <v>170</v>
      </c>
      <c r="D2083" s="3">
        <v>1.3357047</v>
      </c>
      <c r="E2083" s="1">
        <v>1.746725E-2</v>
      </c>
      <c r="F2083" s="2">
        <v>0.16442380000000001</v>
      </c>
    </row>
    <row r="2084" spans="1:6" x14ac:dyDescent="0.25">
      <c r="A2084" t="s">
        <v>10</v>
      </c>
      <c r="B2084" s="5" t="str">
        <f>HYPERLINK("http://www.broadinstitute.org/gsea/msigdb/cards/REACTOME_SIGNALING_BY_ROBO_RECEPTORS.html","REACTOME_SIGNALING_BY_ROBO_RECEPTORS")</f>
        <v>REACTOME_SIGNALING_BY_ROBO_RECEPTORS</v>
      </c>
      <c r="C2084" s="4">
        <v>20</v>
      </c>
      <c r="D2084" s="3">
        <v>1.3356817000000001</v>
      </c>
      <c r="E2084" s="1">
        <v>0.13620071</v>
      </c>
      <c r="F2084" s="2">
        <v>0.16436721000000001</v>
      </c>
    </row>
    <row r="2085" spans="1:6" x14ac:dyDescent="0.25">
      <c r="A2085" t="s">
        <v>6</v>
      </c>
      <c r="B2085" s="5" t="str">
        <f>HYPERLINK("http://www.broadinstitute.org/gsea/msigdb/cards/GOBP_CELLULAR_LIPID_CATABOLIC_PROCESS.html","GOBP_CELLULAR_LIPID_CATABOLIC_PROCESS")</f>
        <v>GOBP_CELLULAR_LIPID_CATABOLIC_PROCESS</v>
      </c>
      <c r="C2085" s="4">
        <v>230</v>
      </c>
      <c r="D2085" s="3">
        <v>1.3356287</v>
      </c>
      <c r="E2085" s="1">
        <v>2.0804439000000001E-2</v>
      </c>
      <c r="F2085" s="2">
        <v>0.16434699999999999</v>
      </c>
    </row>
    <row r="2086" spans="1:6" x14ac:dyDescent="0.25">
      <c r="A2086" t="s">
        <v>10</v>
      </c>
      <c r="B2086" s="5" t="str">
        <f>HYPERLINK("http://www.broadinstitute.org/gsea/msigdb/cards/REACTOME_HS_GAG_DEGRADATION.html","REACTOME_HS_GAG_DEGRADATION")</f>
        <v>REACTOME_HS_GAG_DEGRADATION</v>
      </c>
      <c r="C2086" s="4">
        <v>22</v>
      </c>
      <c r="D2086" s="3">
        <v>1.3354108</v>
      </c>
      <c r="E2086" s="1">
        <v>0.10369068400000001</v>
      </c>
      <c r="F2086" s="2">
        <v>0.16452571999999999</v>
      </c>
    </row>
    <row r="2087" spans="1:6" x14ac:dyDescent="0.25">
      <c r="A2087" t="s">
        <v>6</v>
      </c>
      <c r="B2087" s="5" t="str">
        <f>HYPERLINK("http://www.broadinstitute.org/gsea/msigdb/cards/GOBP_INTRA_GOLGI_VESICLE_MEDIATED_TRANSPORT.html","GOBP_INTRA_GOLGI_VESICLE_MEDIATED_TRANSPORT")</f>
        <v>GOBP_INTRA_GOLGI_VESICLE_MEDIATED_TRANSPORT</v>
      </c>
      <c r="C2087" s="4">
        <v>29</v>
      </c>
      <c r="D2087" s="3">
        <v>1.3353444000000001</v>
      </c>
      <c r="E2087" s="1">
        <v>0.10902895999999999</v>
      </c>
      <c r="F2087" s="2">
        <v>0.16453003999999999</v>
      </c>
    </row>
    <row r="2088" spans="1:6" x14ac:dyDescent="0.25">
      <c r="A2088" t="s">
        <v>6</v>
      </c>
      <c r="B2088" s="5" t="str">
        <f>HYPERLINK("http://www.broadinstitute.org/gsea/msigdb/cards/GOBP_EPITHELIAL_TUBE_MORPHOGENESIS.html","GOBP_EPITHELIAL_TUBE_MORPHOGENESIS")</f>
        <v>GOBP_EPITHELIAL_TUBE_MORPHOGENESIS</v>
      </c>
      <c r="C2088" s="4">
        <v>392</v>
      </c>
      <c r="D2088" s="3">
        <v>1.3347024000000001</v>
      </c>
      <c r="E2088" s="1">
        <v>9.2470269999999997E-3</v>
      </c>
      <c r="F2088" s="2">
        <v>0.16514367999999999</v>
      </c>
    </row>
    <row r="2089" spans="1:6" x14ac:dyDescent="0.25">
      <c r="A2089" t="s">
        <v>8</v>
      </c>
      <c r="B2089" s="5" t="str">
        <f>HYPERLINK("http://www.broadinstitute.org/gsea/msigdb/cards/GOMF_SPHINGOLIPID_BINDING.html","GOMF_SPHINGOLIPID_BINDING")</f>
        <v>GOMF_SPHINGOLIPID_BINDING</v>
      </c>
      <c r="C2089" s="4">
        <v>30</v>
      </c>
      <c r="D2089" s="3">
        <v>1.3342575000000001</v>
      </c>
      <c r="E2089" s="1">
        <v>9.9303134000000001E-2</v>
      </c>
      <c r="F2089" s="2">
        <v>0.16554925000000001</v>
      </c>
    </row>
    <row r="2090" spans="1:6" x14ac:dyDescent="0.25">
      <c r="A2090" t="s">
        <v>6</v>
      </c>
      <c r="B2090" s="5" t="str">
        <f>HYPERLINK("http://www.broadinstitute.org/gsea/msigdb/cards/GOBP_POSITIVE_REGULATION_BY_HOST_OF_VIRAL_PROCESS.html","GOBP_POSITIVE_REGULATION_BY_HOST_OF_VIRAL_PROCESS")</f>
        <v>GOBP_POSITIVE_REGULATION_BY_HOST_OF_VIRAL_PROCESS</v>
      </c>
      <c r="C2090" s="4">
        <v>22</v>
      </c>
      <c r="D2090" s="3">
        <v>1.3342096000000001</v>
      </c>
      <c r="E2090" s="1">
        <v>0.11363637</v>
      </c>
      <c r="F2090" s="2">
        <v>0.16552286999999999</v>
      </c>
    </row>
    <row r="2091" spans="1:6" x14ac:dyDescent="0.25">
      <c r="A2091" t="s">
        <v>6</v>
      </c>
      <c r="B2091" s="5" t="str">
        <f>HYPERLINK("http://www.broadinstitute.org/gsea/msigdb/cards/GOBP_BONE_GROWTH.html","GOBP_BONE_GROWTH")</f>
        <v>GOBP_BONE_GROWTH</v>
      </c>
      <c r="C2091" s="4">
        <v>38</v>
      </c>
      <c r="D2091" s="3">
        <v>1.3336725</v>
      </c>
      <c r="E2091" s="1">
        <v>9.3913040000000003E-2</v>
      </c>
      <c r="F2091" s="2">
        <v>0.16600819999999999</v>
      </c>
    </row>
    <row r="2092" spans="1:6" x14ac:dyDescent="0.25">
      <c r="A2092" t="s">
        <v>6</v>
      </c>
      <c r="B2092" s="5" t="str">
        <f>HYPERLINK("http://www.broadinstitute.org/gsea/msigdb/cards/GOBP_REGULATION_OF_EPITHELIAL_CELL_APOPTOTIC_PROCESS.html","GOBP_REGULATION_OF_EPITHELIAL_CELL_APOPTOTIC_PROCESS")</f>
        <v>GOBP_REGULATION_OF_EPITHELIAL_CELL_APOPTOTIC_PROCESS</v>
      </c>
      <c r="C2092" s="4">
        <v>126</v>
      </c>
      <c r="D2092" s="3">
        <v>1.3336089</v>
      </c>
      <c r="E2092" s="1">
        <v>3.0612245E-2</v>
      </c>
      <c r="F2092" s="2">
        <v>0.16599412</v>
      </c>
    </row>
    <row r="2093" spans="1:6" x14ac:dyDescent="0.25">
      <c r="A2093" t="s">
        <v>6</v>
      </c>
      <c r="B2093" s="5" t="str">
        <f>HYPERLINK("http://www.broadinstitute.org/gsea/msigdb/cards/GOBP_SELECTIVE_AUTOPHAGY.html","GOBP_SELECTIVE_AUTOPHAGY")</f>
        <v>GOBP_SELECTIVE_AUTOPHAGY</v>
      </c>
      <c r="C2093" s="4">
        <v>95</v>
      </c>
      <c r="D2093" s="3">
        <v>1.3335341000000001</v>
      </c>
      <c r="E2093" s="1">
        <v>4.9780379999999999E-2</v>
      </c>
      <c r="F2093" s="2">
        <v>0.16599764</v>
      </c>
    </row>
    <row r="2094" spans="1:6" x14ac:dyDescent="0.25">
      <c r="A2094" t="s">
        <v>5</v>
      </c>
      <c r="B2094" s="5" t="str">
        <f>HYPERLINK("http://www.broadinstitute.org/gsea/msigdb/cards/BIOCARTA_PDGF_PATHWAY.html","BIOCARTA_PDGF_PATHWAY")</f>
        <v>BIOCARTA_PDGF_PATHWAY</v>
      </c>
      <c r="C2094" s="4">
        <v>29</v>
      </c>
      <c r="D2094" s="3">
        <v>1.3330321000000001</v>
      </c>
      <c r="E2094" s="1">
        <v>0.10217755000000001</v>
      </c>
      <c r="F2094" s="2">
        <v>0.16646393000000001</v>
      </c>
    </row>
    <row r="2095" spans="1:6" x14ac:dyDescent="0.25">
      <c r="A2095" t="s">
        <v>6</v>
      </c>
      <c r="B2095" s="5" t="str">
        <f>HYPERLINK("http://www.broadinstitute.org/gsea/msigdb/cards/GOBP_MUSCLE_CELL_APOPTOTIC_PROCESS.html","GOBP_MUSCLE_CELL_APOPTOTIC_PROCESS")</f>
        <v>GOBP_MUSCLE_CELL_APOPTOTIC_PROCESS</v>
      </c>
      <c r="C2095" s="4">
        <v>116</v>
      </c>
      <c r="D2095" s="3">
        <v>1.3325910000000001</v>
      </c>
      <c r="E2095" s="1">
        <v>3.313253E-2</v>
      </c>
      <c r="F2095" s="2">
        <v>0.16685669</v>
      </c>
    </row>
    <row r="2096" spans="1:6" x14ac:dyDescent="0.25">
      <c r="A2096" t="s">
        <v>6</v>
      </c>
      <c r="B2096" s="5" t="str">
        <f>HYPERLINK("http://www.broadinstitute.org/gsea/msigdb/cards/GOBP_NEGATIVE_REGULATION_OF_HUMORAL_IMMUNE_RESPONSE.html","GOBP_NEGATIVE_REGULATION_OF_HUMORAL_IMMUNE_RESPONSE")</f>
        <v>GOBP_NEGATIVE_REGULATION_OF_HUMORAL_IMMUNE_RESPONSE</v>
      </c>
      <c r="C2096" s="4">
        <v>15</v>
      </c>
      <c r="D2096" s="3">
        <v>1.3324541000000001</v>
      </c>
      <c r="E2096" s="1">
        <v>0.10873441</v>
      </c>
      <c r="F2096" s="2">
        <v>0.16692667</v>
      </c>
    </row>
    <row r="2097" spans="1:6" x14ac:dyDescent="0.25">
      <c r="A2097" t="s">
        <v>10</v>
      </c>
      <c r="B2097" s="5" t="str">
        <f>HYPERLINK("http://www.broadinstitute.org/gsea/msigdb/cards/REACTOME_CA_DEPENDENT_EVENTS.html","REACTOME_CA_DEPENDENT_EVENTS")</f>
        <v>REACTOME_CA_DEPENDENT_EVENTS</v>
      </c>
      <c r="C2097" s="4">
        <v>27</v>
      </c>
      <c r="D2097" s="3">
        <v>1.3324145999999999</v>
      </c>
      <c r="E2097" s="1">
        <v>0.112847224</v>
      </c>
      <c r="F2097" s="2">
        <v>0.1668915</v>
      </c>
    </row>
    <row r="2098" spans="1:6" x14ac:dyDescent="0.25">
      <c r="A2098" t="s">
        <v>6</v>
      </c>
      <c r="B2098" s="5" t="str">
        <f>HYPERLINK("http://www.broadinstitute.org/gsea/msigdb/cards/GOBP_REGULATION_OF_PEPTIDYL_THREONINE_PHOSPHORYLATION.html","GOBP_REGULATION_OF_PEPTIDYL_THREONINE_PHOSPHORYLATION")</f>
        <v>GOBP_REGULATION_OF_PEPTIDYL_THREONINE_PHOSPHORYLATION</v>
      </c>
      <c r="C2098" s="4">
        <v>47</v>
      </c>
      <c r="D2098" s="3">
        <v>1.3323450999999999</v>
      </c>
      <c r="E2098" s="1">
        <v>7.9872206000000001E-2</v>
      </c>
      <c r="F2098" s="2">
        <v>0.16688523999999999</v>
      </c>
    </row>
    <row r="2099" spans="1:6" x14ac:dyDescent="0.25">
      <c r="A2099" t="s">
        <v>7</v>
      </c>
      <c r="B2099" s="5" t="str">
        <f>HYPERLINK("http://www.broadinstitute.org/gsea/msigdb/cards/GOCC_ACTOMYOSIN.html","GOCC_ACTOMYOSIN")</f>
        <v>GOCC_ACTOMYOSIN</v>
      </c>
      <c r="C2099" s="4">
        <v>97</v>
      </c>
      <c r="D2099" s="3">
        <v>1.3321130000000001</v>
      </c>
      <c r="E2099" s="1">
        <v>5.4858933999999998E-2</v>
      </c>
      <c r="F2099" s="2">
        <v>0.16705349</v>
      </c>
    </row>
    <row r="2100" spans="1:6" x14ac:dyDescent="0.25">
      <c r="A2100" t="s">
        <v>6</v>
      </c>
      <c r="B2100" s="5" t="str">
        <f>HYPERLINK("http://www.broadinstitute.org/gsea/msigdb/cards/GOBP_PHAGOLYSOSOME_ASSEMBLY.html","GOBP_PHAGOLYSOSOME_ASSEMBLY")</f>
        <v>GOBP_PHAGOLYSOSOME_ASSEMBLY</v>
      </c>
      <c r="C2100" s="4">
        <v>17</v>
      </c>
      <c r="D2100" s="3">
        <v>1.331977</v>
      </c>
      <c r="E2100" s="1">
        <v>0.12816189</v>
      </c>
      <c r="F2100" s="2">
        <v>0.16711066999999999</v>
      </c>
    </row>
    <row r="2101" spans="1:6" x14ac:dyDescent="0.25">
      <c r="A2101" t="s">
        <v>6</v>
      </c>
      <c r="B2101" s="5" t="str">
        <f>HYPERLINK("http://www.broadinstitute.org/gsea/msigdb/cards/GOBP_PEPTIDYL_SERINE_MODIFICATION.html","GOBP_PEPTIDYL_SERINE_MODIFICATION")</f>
        <v>GOBP_PEPTIDYL_SERINE_MODIFICATION</v>
      </c>
      <c r="C2101" s="4">
        <v>317</v>
      </c>
      <c r="D2101" s="3">
        <v>1.3317753999999999</v>
      </c>
      <c r="E2101" s="1">
        <v>5.2910049999999997E-3</v>
      </c>
      <c r="F2101" s="2">
        <v>0.16725813</v>
      </c>
    </row>
    <row r="2102" spans="1:6" x14ac:dyDescent="0.25">
      <c r="A2102" t="s">
        <v>8</v>
      </c>
      <c r="B2102" s="5" t="str">
        <f>HYPERLINK("http://www.broadinstitute.org/gsea/msigdb/cards/GOMF_ACETYLGLUCOSAMINYLTRANSFERASE_ACTIVITY.html","GOMF_ACETYLGLUCOSAMINYLTRANSFERASE_ACTIVITY")</f>
        <v>GOMF_ACETYLGLUCOSAMINYLTRANSFERASE_ACTIVITY</v>
      </c>
      <c r="C2102" s="4">
        <v>44</v>
      </c>
      <c r="D2102" s="3">
        <v>1.3314606</v>
      </c>
      <c r="E2102" s="1">
        <v>0.102649</v>
      </c>
      <c r="F2102" s="2">
        <v>0.16750854000000001</v>
      </c>
    </row>
    <row r="2103" spans="1:6" x14ac:dyDescent="0.25">
      <c r="A2103" t="s">
        <v>5</v>
      </c>
      <c r="B2103" s="5" t="str">
        <f>HYPERLINK("http://www.broadinstitute.org/gsea/msigdb/cards/BIOCARTA_MITOCHONDRIA_PATHWAY.html","BIOCARTA_MITOCHONDRIA_PATHWAY")</f>
        <v>BIOCARTA_MITOCHONDRIA_PATHWAY</v>
      </c>
      <c r="C2103" s="4">
        <v>19</v>
      </c>
      <c r="D2103" s="3">
        <v>1.3314064999999999</v>
      </c>
      <c r="E2103" s="1">
        <v>0.12591241</v>
      </c>
      <c r="F2103" s="2">
        <v>0.16748603000000001</v>
      </c>
    </row>
    <row r="2104" spans="1:6" x14ac:dyDescent="0.25">
      <c r="A2104" t="s">
        <v>5</v>
      </c>
      <c r="B2104" s="5" t="str">
        <f>HYPERLINK("http://www.broadinstitute.org/gsea/msigdb/cards/BIOCARTA_PML_PATHWAY.html","BIOCARTA_PML_PATHWAY")</f>
        <v>BIOCARTA_PML_PATHWAY</v>
      </c>
      <c r="C2104" s="4">
        <v>18</v>
      </c>
      <c r="D2104" s="3">
        <v>1.3312733000000001</v>
      </c>
      <c r="E2104" s="1">
        <v>0.11827957</v>
      </c>
      <c r="F2104" s="2">
        <v>0.16755519999999999</v>
      </c>
    </row>
    <row r="2105" spans="1:6" x14ac:dyDescent="0.25">
      <c r="A2105" t="s">
        <v>6</v>
      </c>
      <c r="B2105" s="5" t="str">
        <f>HYPERLINK("http://www.broadinstitute.org/gsea/msigdb/cards/GOBP_RESPONSE_TO_CATECHOLAMINE.html","GOBP_RESPONSE_TO_CATECHOLAMINE")</f>
        <v>GOBP_RESPONSE_TO_CATECHOLAMINE</v>
      </c>
      <c r="C2105" s="4">
        <v>69</v>
      </c>
      <c r="D2105" s="3">
        <v>1.3311440000000001</v>
      </c>
      <c r="E2105" s="1">
        <v>6.2597810000000004E-2</v>
      </c>
      <c r="F2105" s="2">
        <v>0.16761144</v>
      </c>
    </row>
    <row r="2106" spans="1:6" x14ac:dyDescent="0.25">
      <c r="A2106" t="s">
        <v>6</v>
      </c>
      <c r="B2106" s="5" t="str">
        <f>HYPERLINK("http://www.broadinstitute.org/gsea/msigdb/cards/GOBP_GROWTH_PLATE_CARTILAGE_DEVELOPMENT.html","GOBP_GROWTH_PLATE_CARTILAGE_DEVELOPMENT")</f>
        <v>GOBP_GROWTH_PLATE_CARTILAGE_DEVELOPMENT</v>
      </c>
      <c r="C2106" s="4">
        <v>25</v>
      </c>
      <c r="D2106" s="3">
        <v>1.3310845</v>
      </c>
      <c r="E2106" s="1">
        <v>0.11864406600000001</v>
      </c>
      <c r="F2106" s="2">
        <v>0.16759887000000001</v>
      </c>
    </row>
    <row r="2107" spans="1:6" x14ac:dyDescent="0.25">
      <c r="A2107" t="s">
        <v>6</v>
      </c>
      <c r="B2107" s="5" t="str">
        <f>HYPERLINK("http://www.broadinstitute.org/gsea/msigdb/cards/GOBP_GANGLIOSIDE_METABOLIC_PROCESS.html","GOBP_GANGLIOSIDE_METABOLIC_PROCESS")</f>
        <v>GOBP_GANGLIOSIDE_METABOLIC_PROCESS</v>
      </c>
      <c r="C2107" s="4">
        <v>26</v>
      </c>
      <c r="D2107" s="3">
        <v>1.3308519000000001</v>
      </c>
      <c r="E2107" s="1">
        <v>0.11881187999999999</v>
      </c>
      <c r="F2107" s="2">
        <v>0.16777613999999999</v>
      </c>
    </row>
    <row r="2108" spans="1:6" x14ac:dyDescent="0.25">
      <c r="A2108" t="s">
        <v>6</v>
      </c>
      <c r="B2108" s="5" t="str">
        <f>HYPERLINK("http://www.broadinstitute.org/gsea/msigdb/cards/GOBP_REGULATION_OF_AMINO_ACID_TRANSPORT.html","GOBP_REGULATION_OF_AMINO_ACID_TRANSPORT")</f>
        <v>GOBP_REGULATION_OF_AMINO_ACID_TRANSPORT</v>
      </c>
      <c r="C2108" s="4">
        <v>56</v>
      </c>
      <c r="D2108" s="3">
        <v>1.3305136</v>
      </c>
      <c r="E2108" s="1">
        <v>6.7434214000000006E-2</v>
      </c>
      <c r="F2108" s="2">
        <v>0.16807512999999999</v>
      </c>
    </row>
    <row r="2109" spans="1:6" x14ac:dyDescent="0.25">
      <c r="A2109" t="s">
        <v>6</v>
      </c>
      <c r="B2109" s="5" t="str">
        <f>HYPERLINK("http://www.broadinstitute.org/gsea/msigdb/cards/GOBP_REGULATION_OF_BICELLULAR_TIGHT_JUNCTION_ASSEMBLY.html","GOBP_REGULATION_OF_BICELLULAR_TIGHT_JUNCTION_ASSEMBLY")</f>
        <v>GOBP_REGULATION_OF_BICELLULAR_TIGHT_JUNCTION_ASSEMBLY</v>
      </c>
      <c r="C2109" s="4">
        <v>24</v>
      </c>
      <c r="D2109" s="3">
        <v>1.3303469999999999</v>
      </c>
      <c r="E2109" s="1">
        <v>9.6256679999999997E-2</v>
      </c>
      <c r="F2109" s="2">
        <v>0.16816854000000001</v>
      </c>
    </row>
    <row r="2110" spans="1:6" x14ac:dyDescent="0.25">
      <c r="A2110" t="s">
        <v>10</v>
      </c>
      <c r="B2110" s="5" t="str">
        <f>HYPERLINK("http://www.broadinstitute.org/gsea/msigdb/cards/REACTOME_O_GLYCOSYLATION_OF_TSR_DOMAIN_CONTAINING_PROTEINS.html","REACTOME_O_GLYCOSYLATION_OF_TSR_DOMAIN_CONTAINING_PROTEINS")</f>
        <v>REACTOME_O_GLYCOSYLATION_OF_TSR_DOMAIN_CONTAINING_PROTEINS</v>
      </c>
      <c r="C2110" s="4">
        <v>39</v>
      </c>
      <c r="D2110" s="3">
        <v>1.3302798</v>
      </c>
      <c r="E2110" s="1">
        <v>8.6885240000000002E-2</v>
      </c>
      <c r="F2110" s="2">
        <v>0.16816491</v>
      </c>
    </row>
    <row r="2111" spans="1:6" x14ac:dyDescent="0.25">
      <c r="A2111" t="s">
        <v>6</v>
      </c>
      <c r="B2111" s="5" t="str">
        <f>HYPERLINK("http://www.broadinstitute.org/gsea/msigdb/cards/GOBP_VITAMIN_METABOLIC_PROCESS.html","GOBP_VITAMIN_METABOLIC_PROCESS")</f>
        <v>GOBP_VITAMIN_METABOLIC_PROCESS</v>
      </c>
      <c r="C2111" s="4">
        <v>98</v>
      </c>
      <c r="D2111" s="3">
        <v>1.3301114000000001</v>
      </c>
      <c r="E2111" s="1">
        <v>5.8558556999999997E-2</v>
      </c>
      <c r="F2111" s="2">
        <v>0.1682593</v>
      </c>
    </row>
    <row r="2112" spans="1:6" x14ac:dyDescent="0.25">
      <c r="A2112" t="s">
        <v>5</v>
      </c>
      <c r="B2112" s="5" t="str">
        <f>HYPERLINK("http://www.broadinstitute.org/gsea/msigdb/cards/BIOCARTA_CXCR4_PATHWAY.html","BIOCARTA_CXCR4_PATHWAY")</f>
        <v>BIOCARTA_CXCR4_PATHWAY</v>
      </c>
      <c r="C2112" s="4">
        <v>19</v>
      </c>
      <c r="D2112" s="3">
        <v>1.3295265000000001</v>
      </c>
      <c r="E2112" s="1">
        <v>0.13367175000000001</v>
      </c>
      <c r="F2112" s="2">
        <v>0.16881719000000001</v>
      </c>
    </row>
    <row r="2113" spans="1:6" x14ac:dyDescent="0.25">
      <c r="A2113" t="s">
        <v>6</v>
      </c>
      <c r="B2113" s="5" t="str">
        <f>HYPERLINK("http://www.broadinstitute.org/gsea/msigdb/cards/GOBP_RESPONSE_TO_HYDROPEROXIDE.html","GOBP_RESPONSE_TO_HYDROPEROXIDE")</f>
        <v>GOBP_RESPONSE_TO_HYDROPEROXIDE</v>
      </c>
      <c r="C2113" s="4">
        <v>17</v>
      </c>
      <c r="D2113" s="3">
        <v>1.3291885999999999</v>
      </c>
      <c r="E2113" s="1">
        <v>0.12386156600000001</v>
      </c>
      <c r="F2113" s="2">
        <v>0.16909893000000001</v>
      </c>
    </row>
    <row r="2114" spans="1:6" x14ac:dyDescent="0.25">
      <c r="A2114" t="s">
        <v>6</v>
      </c>
      <c r="B2114" s="5" t="str">
        <f>HYPERLINK("http://www.broadinstitute.org/gsea/msigdb/cards/GOBP_APICAL_JUNCTION_ASSEMBLY.html","GOBP_APICAL_JUNCTION_ASSEMBLY")</f>
        <v>GOBP_APICAL_JUNCTION_ASSEMBLY</v>
      </c>
      <c r="C2114" s="4">
        <v>80</v>
      </c>
      <c r="D2114" s="3">
        <v>1.3288431999999999</v>
      </c>
      <c r="E2114" s="1">
        <v>5.2215190000000002E-2</v>
      </c>
      <c r="F2114" s="2">
        <v>0.16939758999999999</v>
      </c>
    </row>
    <row r="2115" spans="1:6" x14ac:dyDescent="0.25">
      <c r="A2115" t="s">
        <v>6</v>
      </c>
      <c r="B2115" s="5" t="str">
        <f>HYPERLINK("http://www.broadinstitute.org/gsea/msigdb/cards/GOBP_RESPONSE_TO_MECHANICAL_STIMULUS.html","GOBP_RESPONSE_TO_MECHANICAL_STIMULUS")</f>
        <v>GOBP_RESPONSE_TO_MECHANICAL_STIMULUS</v>
      </c>
      <c r="C2115" s="4">
        <v>161</v>
      </c>
      <c r="D2115" s="3">
        <v>1.3287221</v>
      </c>
      <c r="E2115" s="1">
        <v>2.4745269E-2</v>
      </c>
      <c r="F2115" s="2">
        <v>0.16946243999999999</v>
      </c>
    </row>
    <row r="2116" spans="1:6" x14ac:dyDescent="0.25">
      <c r="A2116" t="s">
        <v>6</v>
      </c>
      <c r="B2116" s="5" t="str">
        <f>HYPERLINK("http://www.broadinstitute.org/gsea/msigdb/cards/GOBP_MONOSACCHARIDE_METABOLIC_PROCESS.html","GOBP_MONOSACCHARIDE_METABOLIC_PROCESS")</f>
        <v>GOBP_MONOSACCHARIDE_METABOLIC_PROCESS</v>
      </c>
      <c r="C2116" s="4">
        <v>269</v>
      </c>
      <c r="D2116" s="3">
        <v>1.3286403</v>
      </c>
      <c r="E2116" s="1">
        <v>2.0576132E-2</v>
      </c>
      <c r="F2116" s="2">
        <v>0.16946117999999999</v>
      </c>
    </row>
    <row r="2117" spans="1:6" x14ac:dyDescent="0.25">
      <c r="A2117" t="s">
        <v>8</v>
      </c>
      <c r="B2117" s="5" t="str">
        <f>HYPERLINK("http://www.broadinstitute.org/gsea/msigdb/cards/GOMF_EXONUCLEASE_ACTIVITY_ACTIVE_WITH_EITHER_RIBO_OR_DEOXYRIBONUCLEIC_ACIDS_AND_PRODUCING_5_PHOSPHOMONOESTERS.html","GOMF_EXONUCLEASE_ACTIVITY_ACTIVE_WITH_EITHER_RIBO_OR_DEOXYRIBONUCLEIC_ACIDS_AND_PRODUCING_5_PHOSPHOMONOESTERS")</f>
        <v>GOMF_EXONUCLEASE_ACTIVITY_ACTIVE_WITH_EITHER_RIBO_OR_DEOXYRIBONUCLEIC_ACIDS_AND_PRODUCING_5_PHOSPHOMONOESTERS</v>
      </c>
      <c r="C2117" s="4">
        <v>52</v>
      </c>
      <c r="D2117" s="3">
        <v>1.3283985</v>
      </c>
      <c r="E2117" s="1">
        <v>7.0967740000000001E-2</v>
      </c>
      <c r="F2117" s="2">
        <v>0.16963916000000001</v>
      </c>
    </row>
    <row r="2118" spans="1:6" x14ac:dyDescent="0.25">
      <c r="A2118" t="s">
        <v>5</v>
      </c>
      <c r="B2118" s="5" t="str">
        <f>HYPERLINK("http://www.broadinstitute.org/gsea/msigdb/cards/BIOCARTA_CTCF_PATHWAY.html","BIOCARTA_CTCF_PATHWAY")</f>
        <v>BIOCARTA_CTCF_PATHWAY</v>
      </c>
      <c r="C2118" s="4">
        <v>24</v>
      </c>
      <c r="D2118" s="3">
        <v>1.328109</v>
      </c>
      <c r="E2118" s="1">
        <v>0.10820244</v>
      </c>
      <c r="F2118" s="2">
        <v>0.16986573999999999</v>
      </c>
    </row>
    <row r="2119" spans="1:6" x14ac:dyDescent="0.25">
      <c r="A2119" t="s">
        <v>6</v>
      </c>
      <c r="B2119" s="5" t="str">
        <f>HYPERLINK("http://www.broadinstitute.org/gsea/msigdb/cards/GOBP_THYROID_HORMONE_GENERATION.html","GOBP_THYROID_HORMONE_GENERATION")</f>
        <v>GOBP_THYROID_HORMONE_GENERATION</v>
      </c>
      <c r="C2119" s="4">
        <v>20</v>
      </c>
      <c r="D2119" s="3">
        <v>1.3280015999999999</v>
      </c>
      <c r="E2119" s="1">
        <v>0.12655971999999999</v>
      </c>
      <c r="F2119" s="2">
        <v>0.16991697</v>
      </c>
    </row>
    <row r="2120" spans="1:6" x14ac:dyDescent="0.25">
      <c r="A2120" t="s">
        <v>6</v>
      </c>
      <c r="B2120" s="5" t="str">
        <f>HYPERLINK("http://www.broadinstitute.org/gsea/msigdb/cards/GOBP_UBIQUITIN_DEPENDENT_ERAD_PATHWAY.html","GOBP_UBIQUITIN_DEPENDENT_ERAD_PATHWAY")</f>
        <v>GOBP_UBIQUITIN_DEPENDENT_ERAD_PATHWAY</v>
      </c>
      <c r="C2120" s="4">
        <v>81</v>
      </c>
      <c r="D2120" s="3">
        <v>1.3275148000000001</v>
      </c>
      <c r="E2120" s="1">
        <v>7.2981365000000006E-2</v>
      </c>
      <c r="F2120" s="2">
        <v>0.17035179</v>
      </c>
    </row>
    <row r="2121" spans="1:6" x14ac:dyDescent="0.25">
      <c r="A2121" t="s">
        <v>6</v>
      </c>
      <c r="B2121" s="5" t="str">
        <f>HYPERLINK("http://www.broadinstitute.org/gsea/msigdb/cards/GOBP_REGULATION_OF_CELLULAR_RESPONSE_TO_INSULIN_STIMULUS.html","GOBP_REGULATION_OF_CELLULAR_RESPONSE_TO_INSULIN_STIMULUS")</f>
        <v>GOBP_REGULATION_OF_CELLULAR_RESPONSE_TO_INSULIN_STIMULUS</v>
      </c>
      <c r="C2121" s="4">
        <v>88</v>
      </c>
      <c r="D2121" s="3">
        <v>1.3261238</v>
      </c>
      <c r="E2121" s="1">
        <v>5.0613496000000001E-2</v>
      </c>
      <c r="F2121" s="2">
        <v>0.17178713000000001</v>
      </c>
    </row>
    <row r="2122" spans="1:6" x14ac:dyDescent="0.25">
      <c r="A2122" t="s">
        <v>6</v>
      </c>
      <c r="B2122" s="5" t="str">
        <f>HYPERLINK("http://www.broadinstitute.org/gsea/msigdb/cards/GOBP_POSITIVE_REGULATION_OF_PROTEIN_TYROSINE_KINASE_ACTIVITY.html","GOBP_POSITIVE_REGULATION_OF_PROTEIN_TYROSINE_KINASE_ACTIVITY")</f>
        <v>GOBP_POSITIVE_REGULATION_OF_PROTEIN_TYROSINE_KINASE_ACTIVITY</v>
      </c>
      <c r="C2122" s="4">
        <v>38</v>
      </c>
      <c r="D2122" s="3">
        <v>1.32609</v>
      </c>
      <c r="E2122" s="1">
        <v>0.10304054</v>
      </c>
      <c r="F2122" s="2">
        <v>0.17173820000000001</v>
      </c>
    </row>
    <row r="2123" spans="1:6" x14ac:dyDescent="0.25">
      <c r="A2123" t="s">
        <v>8</v>
      </c>
      <c r="B2123" s="5" t="str">
        <f>HYPERLINK("http://www.broadinstitute.org/gsea/msigdb/cards/GOMF_GTPASE_BINDING.html","GOMF_GTPASE_BINDING")</f>
        <v>GOMF_GTPASE_BINDING</v>
      </c>
      <c r="C2123" s="4">
        <v>335</v>
      </c>
      <c r="D2123" s="3">
        <v>1.3260837000000001</v>
      </c>
      <c r="E2123" s="1">
        <v>5.2083334999999996E-3</v>
      </c>
      <c r="F2123" s="2">
        <v>0.17166277999999999</v>
      </c>
    </row>
    <row r="2124" spans="1:6" x14ac:dyDescent="0.25">
      <c r="A2124" t="s">
        <v>6</v>
      </c>
      <c r="B2124" s="5" t="str">
        <f>HYPERLINK("http://www.broadinstitute.org/gsea/msigdb/cards/GOBP_NEGATIVE_REGULATION_OF_PROTEIN_LOCALIZATION.html","GOBP_NEGATIVE_REGULATION_OF_PROTEIN_LOCALIZATION")</f>
        <v>GOBP_NEGATIVE_REGULATION_OF_PROTEIN_LOCALIZATION</v>
      </c>
      <c r="C2124" s="4">
        <v>237</v>
      </c>
      <c r="D2124" s="3">
        <v>1.3258133999999999</v>
      </c>
      <c r="E2124" s="1">
        <v>2.5367155999999998E-2</v>
      </c>
      <c r="F2124" s="2">
        <v>0.17188759000000001</v>
      </c>
    </row>
    <row r="2125" spans="1:6" x14ac:dyDescent="0.25">
      <c r="A2125" t="s">
        <v>8</v>
      </c>
      <c r="B2125" s="5" t="str">
        <f>HYPERLINK("http://www.broadinstitute.org/gsea/msigdb/cards/GOMF_MISFOLDED_PROTEIN_BINDING.html","GOMF_MISFOLDED_PROTEIN_BINDING")</f>
        <v>GOMF_MISFOLDED_PROTEIN_BINDING</v>
      </c>
      <c r="C2125" s="4">
        <v>18</v>
      </c>
      <c r="D2125" s="3">
        <v>1.3258128</v>
      </c>
      <c r="E2125" s="1">
        <v>0.12991454</v>
      </c>
      <c r="F2125" s="2">
        <v>0.17180659000000001</v>
      </c>
    </row>
    <row r="2126" spans="1:6" x14ac:dyDescent="0.25">
      <c r="A2126" t="s">
        <v>6</v>
      </c>
      <c r="B2126" s="5" t="str">
        <f>HYPERLINK("http://www.broadinstitute.org/gsea/msigdb/cards/GOBP_INTRINSIC_APOPTOTIC_SIGNALING_PATHWAY_IN_RESPONSE_TO_DNA_DAMAGE.html","GOBP_INTRINSIC_APOPTOTIC_SIGNALING_PATHWAY_IN_RESPONSE_TO_DNA_DAMAGE")</f>
        <v>GOBP_INTRINSIC_APOPTOTIC_SIGNALING_PATHWAY_IN_RESPONSE_TO_DNA_DAMAGE</v>
      </c>
      <c r="C2126" s="4">
        <v>113</v>
      </c>
      <c r="D2126" s="3">
        <v>1.3257836000000001</v>
      </c>
      <c r="E2126" s="1">
        <v>3.7151700000000003E-2</v>
      </c>
      <c r="F2126" s="2">
        <v>0.17176288000000001</v>
      </c>
    </row>
    <row r="2127" spans="1:6" x14ac:dyDescent="0.25">
      <c r="A2127" t="s">
        <v>6</v>
      </c>
      <c r="B2127" s="5" t="str">
        <f>HYPERLINK("http://www.broadinstitute.org/gsea/msigdb/cards/GOBP_ACYLGLYCEROL_HOMEOSTASIS.html","GOBP_ACYLGLYCEROL_HOMEOSTASIS")</f>
        <v>GOBP_ACYLGLYCEROL_HOMEOSTASIS</v>
      </c>
      <c r="C2127" s="4">
        <v>35</v>
      </c>
      <c r="D2127" s="3">
        <v>1.3249972999999999</v>
      </c>
      <c r="E2127" s="1">
        <v>9.7331239999999999E-2</v>
      </c>
      <c r="F2127" s="2">
        <v>0.17256120999999999</v>
      </c>
    </row>
    <row r="2128" spans="1:6" x14ac:dyDescent="0.25">
      <c r="A2128" t="s">
        <v>8</v>
      </c>
      <c r="B2128" s="5" t="str">
        <f>HYPERLINK("http://www.broadinstitute.org/gsea/msigdb/cards/GOMF_GLUCURONOSYLTRANSFERASE_ACTIVITY.html","GOMF_GLUCURONOSYLTRANSFERASE_ACTIVITY")</f>
        <v>GOMF_GLUCURONOSYLTRANSFERASE_ACTIVITY</v>
      </c>
      <c r="C2128" s="4">
        <v>25</v>
      </c>
      <c r="D2128" s="3">
        <v>1.3241767</v>
      </c>
      <c r="E2128" s="1">
        <v>0.10172414</v>
      </c>
      <c r="F2128" s="2">
        <v>0.17336525</v>
      </c>
    </row>
    <row r="2129" spans="1:6" x14ac:dyDescent="0.25">
      <c r="A2129" t="s">
        <v>8</v>
      </c>
      <c r="B2129" s="5" t="str">
        <f>HYPERLINK("http://www.broadinstitute.org/gsea/msigdb/cards/GOMF_3_5_CYCLIC_GMP_PHOSPHODIESTERASE_ACTIVITY.html","GOMF_3_5_CYCLIC_GMP_PHOSPHODIESTERASE_ACTIVITY")</f>
        <v>GOMF_3_5_CYCLIC_GMP_PHOSPHODIESTERASE_ACTIVITY</v>
      </c>
      <c r="C2129" s="4">
        <v>15</v>
      </c>
      <c r="D2129" s="3">
        <v>1.3240778</v>
      </c>
      <c r="E2129" s="1">
        <v>0.12815884</v>
      </c>
      <c r="F2129" s="2">
        <v>0.17339055</v>
      </c>
    </row>
    <row r="2130" spans="1:6" x14ac:dyDescent="0.25">
      <c r="A2130" t="s">
        <v>6</v>
      </c>
      <c r="B2130" s="5" t="str">
        <f>HYPERLINK("http://www.broadinstitute.org/gsea/msigdb/cards/GOBP_NEGATIVE_REGULATION_OF_FIBROBLAST_PROLIFERATION.html","GOBP_NEGATIVE_REGULATION_OF_FIBROBLAST_PROLIFERATION")</f>
        <v>GOBP_NEGATIVE_REGULATION_OF_FIBROBLAST_PROLIFERATION</v>
      </c>
      <c r="C2130" s="4">
        <v>45</v>
      </c>
      <c r="D2130" s="3">
        <v>1.3239927</v>
      </c>
      <c r="E2130" s="1">
        <v>8.6003369999999996E-2</v>
      </c>
      <c r="F2130" s="2">
        <v>0.17339610999999999</v>
      </c>
    </row>
    <row r="2131" spans="1:6" x14ac:dyDescent="0.25">
      <c r="A2131" t="s">
        <v>8</v>
      </c>
      <c r="B2131" s="5" t="str">
        <f>HYPERLINK("http://www.broadinstitute.org/gsea/msigdb/cards/GOMF_ACTIN_BINDING.html","GOMF_ACTIN_BINDING")</f>
        <v>GOMF_ACTIN_BINDING</v>
      </c>
      <c r="C2131" s="4">
        <v>436</v>
      </c>
      <c r="D2131" s="3">
        <v>1.323755</v>
      </c>
      <c r="E2131" s="1">
        <v>4.98132E-3</v>
      </c>
      <c r="F2131" s="2">
        <v>0.17356946000000001</v>
      </c>
    </row>
    <row r="2132" spans="1:6" x14ac:dyDescent="0.25">
      <c r="A2132" t="s">
        <v>10</v>
      </c>
      <c r="B2132" s="5" t="str">
        <f>HYPERLINK("http://www.broadinstitute.org/gsea/msigdb/cards/REACTOME_POST_NMDA_RECEPTOR_ACTIVATION_EVENTS.html","REACTOME_POST_NMDA_RECEPTOR_ACTIVATION_EVENTS")</f>
        <v>REACTOME_POST_NMDA_RECEPTOR_ACTIVATION_EVENTS</v>
      </c>
      <c r="C2132" s="4">
        <v>16</v>
      </c>
      <c r="D2132" s="3">
        <v>1.323653</v>
      </c>
      <c r="E2132" s="1">
        <v>0.13194444999999999</v>
      </c>
      <c r="F2132" s="2">
        <v>0.17360788999999999</v>
      </c>
    </row>
    <row r="2133" spans="1:6" x14ac:dyDescent="0.25">
      <c r="A2133" t="s">
        <v>6</v>
      </c>
      <c r="B2133" s="5" t="str">
        <f>HYPERLINK("http://www.broadinstitute.org/gsea/msigdb/cards/GOBP_REGULATION_OF_B_CELL_RECEPTOR_SIGNALING_PATHWAY.html","GOBP_REGULATION_OF_B_CELL_RECEPTOR_SIGNALING_PATHWAY")</f>
        <v>GOBP_REGULATION_OF_B_CELL_RECEPTOR_SIGNALING_PATHWAY</v>
      </c>
      <c r="C2133" s="4">
        <v>17</v>
      </c>
      <c r="D2133" s="3">
        <v>1.3233902</v>
      </c>
      <c r="E2133" s="1">
        <v>0.13868614000000001</v>
      </c>
      <c r="F2133" s="2">
        <v>0.17380796000000001</v>
      </c>
    </row>
    <row r="2134" spans="1:6" x14ac:dyDescent="0.25">
      <c r="A2134" t="s">
        <v>6</v>
      </c>
      <c r="B2134" s="5" t="str">
        <f>HYPERLINK("http://www.broadinstitute.org/gsea/msigdb/cards/GOBP_MULTIVESICULAR_BODY_ORGANIZATION.html","GOBP_MULTIVESICULAR_BODY_ORGANIZATION")</f>
        <v>GOBP_MULTIVESICULAR_BODY_ORGANIZATION</v>
      </c>
      <c r="C2134" s="4">
        <v>15</v>
      </c>
      <c r="D2134" s="3">
        <v>1.3230681</v>
      </c>
      <c r="E2134" s="1">
        <v>0.14285714999999999</v>
      </c>
      <c r="F2134" s="2">
        <v>0.17409252</v>
      </c>
    </row>
    <row r="2135" spans="1:6" x14ac:dyDescent="0.25">
      <c r="A2135" t="s">
        <v>6</v>
      </c>
      <c r="B2135" s="5" t="str">
        <f>HYPERLINK("http://www.broadinstitute.org/gsea/msigdb/cards/GOBP_POSITIVE_REGULATION_OF_PHOSPHATASE_ACTIVITY.html","GOBP_POSITIVE_REGULATION_OF_PHOSPHATASE_ACTIVITY")</f>
        <v>GOBP_POSITIVE_REGULATION_OF_PHOSPHATASE_ACTIVITY</v>
      </c>
      <c r="C2135" s="4">
        <v>33</v>
      </c>
      <c r="D2135" s="3">
        <v>1.3228580000000001</v>
      </c>
      <c r="E2135" s="1">
        <v>0.10490694</v>
      </c>
      <c r="F2135" s="2">
        <v>0.17424218</v>
      </c>
    </row>
    <row r="2136" spans="1:6" x14ac:dyDescent="0.25">
      <c r="A2136" t="s">
        <v>6</v>
      </c>
      <c r="B2136" s="5" t="str">
        <f>HYPERLINK("http://www.broadinstitute.org/gsea/msigdb/cards/GOBP_REGULATION_OF_PEPTIDYL_SERINE_PHOSPHORYLATION.html","GOBP_REGULATION_OF_PEPTIDYL_SERINE_PHOSPHORYLATION")</f>
        <v>GOBP_REGULATION_OF_PEPTIDYL_SERINE_PHOSPHORYLATION</v>
      </c>
      <c r="C2136" s="4">
        <v>136</v>
      </c>
      <c r="D2136" s="3">
        <v>1.3226310999999999</v>
      </c>
      <c r="E2136" s="1">
        <v>5.1051050000000001E-2</v>
      </c>
      <c r="F2136" s="2">
        <v>0.17441556</v>
      </c>
    </row>
    <row r="2137" spans="1:6" x14ac:dyDescent="0.25">
      <c r="A2137" t="s">
        <v>10</v>
      </c>
      <c r="B2137" s="5" t="str">
        <f>HYPERLINK("http://www.broadinstitute.org/gsea/msigdb/cards/REACTOME_TNFR1_INDUCED_PROAPOPTOTIC_SIGNALING.html","REACTOME_TNFR1_INDUCED_PROAPOPTOTIC_SIGNALING")</f>
        <v>REACTOME_TNFR1_INDUCED_PROAPOPTOTIC_SIGNALING</v>
      </c>
      <c r="C2137" s="4">
        <v>23</v>
      </c>
      <c r="D2137" s="3">
        <v>1.3223313999999999</v>
      </c>
      <c r="E2137" s="1">
        <v>0.12458472</v>
      </c>
      <c r="F2137" s="2">
        <v>0.17468911000000001</v>
      </c>
    </row>
    <row r="2138" spans="1:6" x14ac:dyDescent="0.25">
      <c r="A2138" t="s">
        <v>10</v>
      </c>
      <c r="B2138" s="5" t="str">
        <f>HYPERLINK("http://www.broadinstitute.org/gsea/msigdb/cards/REACTOME_NEGATIVE_REGULATION_OF_FGFR3_SIGNALING.html","REACTOME_NEGATIVE_REGULATION_OF_FGFR3_SIGNALING")</f>
        <v>REACTOME_NEGATIVE_REGULATION_OF_FGFR3_SIGNALING</v>
      </c>
      <c r="C2138" s="4">
        <v>29</v>
      </c>
      <c r="D2138" s="3">
        <v>1.3222088999999999</v>
      </c>
      <c r="E2138" s="1">
        <v>0.10666667000000001</v>
      </c>
      <c r="F2138" s="2">
        <v>0.17474844</v>
      </c>
    </row>
    <row r="2139" spans="1:6" x14ac:dyDescent="0.25">
      <c r="A2139" t="s">
        <v>7</v>
      </c>
      <c r="B2139" s="5" t="str">
        <f>HYPERLINK("http://www.broadinstitute.org/gsea/msigdb/cards/GOCC_BASAL_PART_OF_CELL.html","GOCC_BASAL_PART_OF_CELL")</f>
        <v>GOCC_BASAL_PART_OF_CELL</v>
      </c>
      <c r="C2139" s="4">
        <v>315</v>
      </c>
      <c r="D2139" s="3">
        <v>1.3221799000000001</v>
      </c>
      <c r="E2139" s="1">
        <v>1.2970169E-2</v>
      </c>
      <c r="F2139" s="2">
        <v>0.17470205999999999</v>
      </c>
    </row>
    <row r="2140" spans="1:6" x14ac:dyDescent="0.25">
      <c r="A2140" t="s">
        <v>6</v>
      </c>
      <c r="B2140" s="5" t="str">
        <f>HYPERLINK("http://www.broadinstitute.org/gsea/msigdb/cards/GOBP_DEOXYRIBONUCLEOTIDE_CATABOLIC_PROCESS.html","GOBP_DEOXYRIBONUCLEOTIDE_CATABOLIC_PROCESS")</f>
        <v>GOBP_DEOXYRIBONUCLEOTIDE_CATABOLIC_PROCESS</v>
      </c>
      <c r="C2140" s="4">
        <v>26</v>
      </c>
      <c r="D2140" s="3">
        <v>1.3220574</v>
      </c>
      <c r="E2140" s="1">
        <v>0.105</v>
      </c>
      <c r="F2140" s="2">
        <v>0.17475905999999999</v>
      </c>
    </row>
    <row r="2141" spans="1:6" x14ac:dyDescent="0.25">
      <c r="A2141" t="s">
        <v>6</v>
      </c>
      <c r="B2141" s="5" t="str">
        <f>HYPERLINK("http://www.broadinstitute.org/gsea/msigdb/cards/GOBP_POSITIVE_REGULATION_OF_LIPID_BIOSYNTHETIC_PROCESS.html","GOBP_POSITIVE_REGULATION_OF_LIPID_BIOSYNTHETIC_PROCESS")</f>
        <v>GOBP_POSITIVE_REGULATION_OF_LIPID_BIOSYNTHETIC_PROCESS</v>
      </c>
      <c r="C2141" s="4">
        <v>111</v>
      </c>
      <c r="D2141" s="3">
        <v>1.3219155</v>
      </c>
      <c r="E2141" s="1">
        <v>6.0240965E-2</v>
      </c>
      <c r="F2141" s="2">
        <v>0.17483389999999999</v>
      </c>
    </row>
    <row r="2142" spans="1:6" x14ac:dyDescent="0.25">
      <c r="A2142" t="s">
        <v>6</v>
      </c>
      <c r="B2142" s="5" t="str">
        <f>HYPERLINK("http://www.broadinstitute.org/gsea/msigdb/cards/GOBP_PROSTANOID_METABOLIC_PROCESS.html","GOBP_PROSTANOID_METABOLIC_PROCESS")</f>
        <v>GOBP_PROSTANOID_METABOLIC_PROCESS</v>
      </c>
      <c r="C2142" s="4">
        <v>53</v>
      </c>
      <c r="D2142" s="3">
        <v>1.3216703000000001</v>
      </c>
      <c r="E2142" s="1">
        <v>8.0824090000000001E-2</v>
      </c>
      <c r="F2142" s="2">
        <v>0.17502609</v>
      </c>
    </row>
    <row r="2143" spans="1:6" x14ac:dyDescent="0.25">
      <c r="A2143" t="s">
        <v>6</v>
      </c>
      <c r="B2143" s="5" t="str">
        <f>HYPERLINK("http://www.broadinstitute.org/gsea/msigdb/cards/GOBP_POSITIVE_REGULATION_OF_STRIATED_MUSCLE_CELL_APOPTOTIC_PROCESS.html","GOBP_POSITIVE_REGULATION_OF_STRIATED_MUSCLE_CELL_APOPTOTIC_PROCESS")</f>
        <v>GOBP_POSITIVE_REGULATION_OF_STRIATED_MUSCLE_CELL_APOPTOTIC_PROCESS</v>
      </c>
      <c r="C2143" s="4">
        <v>26</v>
      </c>
      <c r="D2143" s="3">
        <v>1.3213457</v>
      </c>
      <c r="E2143" s="1">
        <v>0.105902776</v>
      </c>
      <c r="F2143" s="2">
        <v>0.17531331</v>
      </c>
    </row>
    <row r="2144" spans="1:6" x14ac:dyDescent="0.25">
      <c r="A2144" t="s">
        <v>10</v>
      </c>
      <c r="B2144" s="5" t="str">
        <f>HYPERLINK("http://www.broadinstitute.org/gsea/msigdb/cards/REACTOME_CELL_JUNCTION_ORGANIZATION.html","REACTOME_CELL_JUNCTION_ORGANIZATION")</f>
        <v>REACTOME_CELL_JUNCTION_ORGANIZATION</v>
      </c>
      <c r="C2144" s="4">
        <v>73</v>
      </c>
      <c r="D2144" s="3">
        <v>1.3212818</v>
      </c>
      <c r="E2144" s="1">
        <v>7.9877115999999998E-2</v>
      </c>
      <c r="F2144" s="2">
        <v>0.17529911000000001</v>
      </c>
    </row>
    <row r="2145" spans="1:6" x14ac:dyDescent="0.25">
      <c r="A2145" t="s">
        <v>8</v>
      </c>
      <c r="B2145" s="5" t="str">
        <f>HYPERLINK("http://www.broadinstitute.org/gsea/msigdb/cards/GOMF_NOTCH_BINDING.html","GOMF_NOTCH_BINDING")</f>
        <v>GOMF_NOTCH_BINDING</v>
      </c>
      <c r="C2145" s="4">
        <v>25</v>
      </c>
      <c r="D2145" s="3">
        <v>1.3207679000000001</v>
      </c>
      <c r="E2145" s="1">
        <v>0.13693693000000001</v>
      </c>
      <c r="F2145" s="2">
        <v>0.17581140000000001</v>
      </c>
    </row>
    <row r="2146" spans="1:6" x14ac:dyDescent="0.25">
      <c r="A2146" t="s">
        <v>6</v>
      </c>
      <c r="B2146" s="5" t="str">
        <f>HYPERLINK("http://www.broadinstitute.org/gsea/msigdb/cards/GOBP_REGULATION_OF_GLUCOSE_TRANSMEMBRANE_TRANSPORT.html","GOBP_REGULATION_OF_GLUCOSE_TRANSMEMBRANE_TRANSPORT")</f>
        <v>GOBP_REGULATION_OF_GLUCOSE_TRANSMEMBRANE_TRANSPORT</v>
      </c>
      <c r="C2146" s="4">
        <v>83</v>
      </c>
      <c r="D2146" s="3">
        <v>1.3204929000000001</v>
      </c>
      <c r="E2146" s="1">
        <v>7.0336393999999997E-2</v>
      </c>
      <c r="F2146" s="2">
        <v>0.17603036999999999</v>
      </c>
    </row>
    <row r="2147" spans="1:6" x14ac:dyDescent="0.25">
      <c r="A2147" t="s">
        <v>6</v>
      </c>
      <c r="B2147" s="5" t="str">
        <f>HYPERLINK("http://www.broadinstitute.org/gsea/msigdb/cards/GOBP_FATTY_ACID_DERIVATIVE_METABOLIC_PROCESS.html","GOBP_FATTY_ACID_DERIVATIVE_METABOLIC_PROCESS")</f>
        <v>GOBP_FATTY_ACID_DERIVATIVE_METABOLIC_PROCESS</v>
      </c>
      <c r="C2147" s="4">
        <v>44</v>
      </c>
      <c r="D2147" s="3">
        <v>1.3203927</v>
      </c>
      <c r="E2147" s="1">
        <v>9.9115043999999999E-2</v>
      </c>
      <c r="F2147" s="2">
        <v>0.17606454999999999</v>
      </c>
    </row>
    <row r="2148" spans="1:6" x14ac:dyDescent="0.25">
      <c r="A2148" t="s">
        <v>11</v>
      </c>
      <c r="B2148" s="5" t="str">
        <f>HYPERLINK("http://www.broadinstitute.org/gsea/msigdb/cards/WP_FACTORS_AND_PATHWAYS_AFFECTING_INSULIN_LIKE_GROWTH_FACTOR_IGF1_AKT_SIGNALING.html","WP_FACTORS_AND_PATHWAYS_AFFECTING_INSULIN_LIKE_GROWTH_FACTOR_IGF1_AKT_SIGNALING")</f>
        <v>WP_FACTORS_AND_PATHWAYS_AFFECTING_INSULIN_LIKE_GROWTH_FACTOR_IGF1_AKT_SIGNALING</v>
      </c>
      <c r="C2148" s="4">
        <v>30</v>
      </c>
      <c r="D2148" s="3">
        <v>1.320389</v>
      </c>
      <c r="E2148" s="1">
        <v>0.1127451</v>
      </c>
      <c r="F2148" s="2">
        <v>0.17598748</v>
      </c>
    </row>
    <row r="2149" spans="1:6" x14ac:dyDescent="0.25">
      <c r="A2149" t="s">
        <v>6</v>
      </c>
      <c r="B2149" s="5" t="str">
        <f>HYPERLINK("http://www.broadinstitute.org/gsea/msigdb/cards/GOBP_BONE_CELL_DEVELOPMENT.html","GOBP_BONE_CELL_DEVELOPMENT")</f>
        <v>GOBP_BONE_CELL_DEVELOPMENT</v>
      </c>
      <c r="C2149" s="4">
        <v>16</v>
      </c>
      <c r="D2149" s="3">
        <v>1.3199099000000001</v>
      </c>
      <c r="E2149" s="1">
        <v>0.123188406</v>
      </c>
      <c r="F2149" s="2">
        <v>0.17644842999999999</v>
      </c>
    </row>
    <row r="2150" spans="1:6" x14ac:dyDescent="0.25">
      <c r="A2150" t="s">
        <v>8</v>
      </c>
      <c r="B2150" s="5" t="str">
        <f>HYPERLINK("http://www.broadinstitute.org/gsea/msigdb/cards/GOMF_PROTEIN_DISULFIDE_ISOMERASE_ACTIVITY.html","GOMF_PROTEIN_DISULFIDE_ISOMERASE_ACTIVITY")</f>
        <v>GOMF_PROTEIN_DISULFIDE_ISOMERASE_ACTIVITY</v>
      </c>
      <c r="C2150" s="4">
        <v>18</v>
      </c>
      <c r="D2150" s="3">
        <v>1.319869</v>
      </c>
      <c r="E2150" s="1">
        <v>0.11418685000000001</v>
      </c>
      <c r="F2150" s="2">
        <v>0.1764097</v>
      </c>
    </row>
    <row r="2151" spans="1:6" x14ac:dyDescent="0.25">
      <c r="A2151" t="s">
        <v>11</v>
      </c>
      <c r="B2151" s="5" t="str">
        <f>HYPERLINK("http://www.broadinstitute.org/gsea/msigdb/cards/WP_SIGNAL_TRANSDUCTION_OF_S1P_RECEPTOR.html","WP_SIGNAL_TRANSDUCTION_OF_S1P_RECEPTOR")</f>
        <v>WP_SIGNAL_TRANSDUCTION_OF_S1P_RECEPTOR</v>
      </c>
      <c r="C2151" s="4">
        <v>22</v>
      </c>
      <c r="D2151" s="3">
        <v>1.3195378</v>
      </c>
      <c r="E2151" s="1">
        <v>0.11794872000000001</v>
      </c>
      <c r="F2151" s="2">
        <v>0.17671354</v>
      </c>
    </row>
    <row r="2152" spans="1:6" x14ac:dyDescent="0.25">
      <c r="A2152" t="s">
        <v>7</v>
      </c>
      <c r="B2152" s="5" t="str">
        <f>HYPERLINK("http://www.broadinstitute.org/gsea/msigdb/cards/GOCC_NUCLEAR_INNER_MEMBRANE.html","GOCC_NUCLEAR_INNER_MEMBRANE")</f>
        <v>GOCC_NUCLEAR_INNER_MEMBRANE</v>
      </c>
      <c r="C2152" s="4">
        <v>38</v>
      </c>
      <c r="D2152" s="3">
        <v>1.319277</v>
      </c>
      <c r="E2152" s="1">
        <v>0.10829103</v>
      </c>
      <c r="F2152" s="2">
        <v>0.1769173</v>
      </c>
    </row>
    <row r="2153" spans="1:6" x14ac:dyDescent="0.25">
      <c r="A2153" t="s">
        <v>6</v>
      </c>
      <c r="B2153" s="5" t="str">
        <f>HYPERLINK("http://www.broadinstitute.org/gsea/msigdb/cards/GOBP_CALMODULIN_DEPENDENT_KINASE_SIGNALING_PATHWAY.html","GOBP_CALMODULIN_DEPENDENT_KINASE_SIGNALING_PATHWAY")</f>
        <v>GOBP_CALMODULIN_DEPENDENT_KINASE_SIGNALING_PATHWAY</v>
      </c>
      <c r="C2153" s="4">
        <v>16</v>
      </c>
      <c r="D2153" s="3">
        <v>1.3189641999999999</v>
      </c>
      <c r="E2153" s="1">
        <v>0.11472603000000001</v>
      </c>
      <c r="F2153" s="2">
        <v>0.17718111</v>
      </c>
    </row>
    <row r="2154" spans="1:6" x14ac:dyDescent="0.25">
      <c r="A2154" t="s">
        <v>6</v>
      </c>
      <c r="B2154" s="5" t="str">
        <f>HYPERLINK("http://www.broadinstitute.org/gsea/msigdb/cards/GOBP_DEOXYRIBONUCLEOTIDE_METABOLIC_PROCESS.html","GOBP_DEOXYRIBONUCLEOTIDE_METABOLIC_PROCESS")</f>
        <v>GOBP_DEOXYRIBONUCLEOTIDE_METABOLIC_PROCESS</v>
      </c>
      <c r="C2154" s="4">
        <v>46</v>
      </c>
      <c r="D2154" s="3">
        <v>1.3188055000000001</v>
      </c>
      <c r="E2154" s="1">
        <v>8.1037275000000006E-2</v>
      </c>
      <c r="F2154" s="2">
        <v>0.17727809999999999</v>
      </c>
    </row>
    <row r="2155" spans="1:6" x14ac:dyDescent="0.25">
      <c r="A2155" t="s">
        <v>10</v>
      </c>
      <c r="B2155" s="5" t="str">
        <f>HYPERLINK("http://www.broadinstitute.org/gsea/msigdb/cards/REACTOME_CELLULAR_HEXOSE_TRANSPORT.html","REACTOME_CELLULAR_HEXOSE_TRANSPORT")</f>
        <v>REACTOME_CELLULAR_HEXOSE_TRANSPORT</v>
      </c>
      <c r="C2155" s="4">
        <v>17</v>
      </c>
      <c r="D2155" s="3">
        <v>1.3186536</v>
      </c>
      <c r="E2155" s="1">
        <v>0.13712374999999999</v>
      </c>
      <c r="F2155" s="2">
        <v>0.17738735999999999</v>
      </c>
    </row>
    <row r="2156" spans="1:6" x14ac:dyDescent="0.25">
      <c r="A2156" t="s">
        <v>6</v>
      </c>
      <c r="B2156" s="5" t="str">
        <f>HYPERLINK("http://www.broadinstitute.org/gsea/msigdb/cards/GOBP_GLIOGENESIS.html","GOBP_GLIOGENESIS")</f>
        <v>GOBP_GLIOGENESIS</v>
      </c>
      <c r="C2156" s="4">
        <v>387</v>
      </c>
      <c r="D2156" s="3">
        <v>1.3181309999999999</v>
      </c>
      <c r="E2156" s="1">
        <v>9.0439270000000002E-3</v>
      </c>
      <c r="F2156" s="2">
        <v>0.17791820999999999</v>
      </c>
    </row>
    <row r="2157" spans="1:6" x14ac:dyDescent="0.25">
      <c r="A2157" t="s">
        <v>8</v>
      </c>
      <c r="B2157" s="5" t="str">
        <f>HYPERLINK("http://www.broadinstitute.org/gsea/msigdb/cards/GOMF_PROTEIN_MACROMOLECULE_ADAPTOR_ACTIVITY.html","GOMF_PROTEIN_MACROMOLECULE_ADAPTOR_ACTIVITY")</f>
        <v>GOMF_PROTEIN_MACROMOLECULE_ADAPTOR_ACTIVITY</v>
      </c>
      <c r="C2157" s="4">
        <v>408</v>
      </c>
      <c r="D2157" s="3">
        <v>1.3180723000000001</v>
      </c>
      <c r="E2157" s="1">
        <v>7.6923076999999996E-3</v>
      </c>
      <c r="F2157" s="2">
        <v>0.17790496</v>
      </c>
    </row>
    <row r="2158" spans="1:6" x14ac:dyDescent="0.25">
      <c r="A2158" t="s">
        <v>6</v>
      </c>
      <c r="B2158" s="5" t="str">
        <f>HYPERLINK("http://www.broadinstitute.org/gsea/msigdb/cards/GOBP_PROTEIN_DESTABILIZATION.html","GOBP_PROTEIN_DESTABILIZATION")</f>
        <v>GOBP_PROTEIN_DESTABILIZATION</v>
      </c>
      <c r="C2158" s="4">
        <v>56</v>
      </c>
      <c r="D2158" s="3">
        <v>1.3179354999999999</v>
      </c>
      <c r="E2158" s="1">
        <v>7.7302634999999995E-2</v>
      </c>
      <c r="F2158" s="2">
        <v>0.17797969999999999</v>
      </c>
    </row>
    <row r="2159" spans="1:6" x14ac:dyDescent="0.25">
      <c r="A2159" t="s">
        <v>10</v>
      </c>
      <c r="B2159" s="5" t="str">
        <f>HYPERLINK("http://www.broadinstitute.org/gsea/msigdb/cards/REACTOME_REGULATION_OF_TNFR1_SIGNALING.html","REACTOME_REGULATION_OF_TNFR1_SIGNALING")</f>
        <v>REACTOME_REGULATION_OF_TNFR1_SIGNALING</v>
      </c>
      <c r="C2159" s="4">
        <v>48</v>
      </c>
      <c r="D2159" s="3">
        <v>1.3178022</v>
      </c>
      <c r="E2159" s="1">
        <v>0.10015649</v>
      </c>
      <c r="F2159" s="2">
        <v>0.17803738999999999</v>
      </c>
    </row>
    <row r="2160" spans="1:6" x14ac:dyDescent="0.25">
      <c r="A2160" t="s">
        <v>6</v>
      </c>
      <c r="B2160" s="5" t="str">
        <f>HYPERLINK("http://www.broadinstitute.org/gsea/msigdb/cards/GOBP_NEGATIVE_REGULATION_OF_NITRIC_OXIDE_METABOLIC_PROCESS.html","GOBP_NEGATIVE_REGULATION_OF_NITRIC_OXIDE_METABOLIC_PROCESS")</f>
        <v>GOBP_NEGATIVE_REGULATION_OF_NITRIC_OXIDE_METABOLIC_PROCESS</v>
      </c>
      <c r="C2160" s="4">
        <v>19</v>
      </c>
      <c r="D2160" s="3">
        <v>1.3175393</v>
      </c>
      <c r="E2160" s="1">
        <v>0.12583891999999999</v>
      </c>
      <c r="F2160" s="2">
        <v>0.17825906999999999</v>
      </c>
    </row>
    <row r="2161" spans="1:6" x14ac:dyDescent="0.25">
      <c r="A2161" t="s">
        <v>6</v>
      </c>
      <c r="B2161" s="5" t="str">
        <f>HYPERLINK("http://www.broadinstitute.org/gsea/msigdb/cards/GOBP_DEOXYRIBONUCLEOSIDE_MONOPHOSPHATE_METABOLIC_PROCESS.html","GOBP_DEOXYRIBONUCLEOSIDE_MONOPHOSPHATE_METABOLIC_PROCESS")</f>
        <v>GOBP_DEOXYRIBONUCLEOSIDE_MONOPHOSPHATE_METABOLIC_PROCESS</v>
      </c>
      <c r="C2161" s="4">
        <v>30</v>
      </c>
      <c r="D2161" s="3">
        <v>1.3174197999999999</v>
      </c>
      <c r="E2161" s="1">
        <v>9.0753420000000001E-2</v>
      </c>
      <c r="F2161" s="2">
        <v>0.17830542999999999</v>
      </c>
    </row>
    <row r="2162" spans="1:6" x14ac:dyDescent="0.25">
      <c r="A2162" t="s">
        <v>10</v>
      </c>
      <c r="B2162" s="5" t="str">
        <f>HYPERLINK("http://www.broadinstitute.org/gsea/msigdb/cards/REACTOME_SIGNALING_BY_TGF_BETA_RECEPTOR_COMPLEX.html","REACTOME_SIGNALING_BY_TGF_BETA_RECEPTOR_COMPLEX")</f>
        <v>REACTOME_SIGNALING_BY_TGF_BETA_RECEPTOR_COMPLEX</v>
      </c>
      <c r="C2162" s="4">
        <v>74</v>
      </c>
      <c r="D2162" s="3">
        <v>1.3172813999999999</v>
      </c>
      <c r="E2162" s="1">
        <v>7.0205480000000001E-2</v>
      </c>
      <c r="F2162" s="2">
        <v>0.17837750999999999</v>
      </c>
    </row>
    <row r="2163" spans="1:6" x14ac:dyDescent="0.25">
      <c r="A2163" t="s">
        <v>8</v>
      </c>
      <c r="B2163" s="5" t="str">
        <f>HYPERLINK("http://www.broadinstitute.org/gsea/msigdb/cards/GOMF_FILAMIN_BINDING.html","GOMF_FILAMIN_BINDING")</f>
        <v>GOMF_FILAMIN_BINDING</v>
      </c>
      <c r="C2163" s="4">
        <v>17</v>
      </c>
      <c r="D2163" s="3">
        <v>1.3167416999999999</v>
      </c>
      <c r="E2163" s="1">
        <v>0.14716312000000001</v>
      </c>
      <c r="F2163" s="2">
        <v>0.17889461000000001</v>
      </c>
    </row>
    <row r="2164" spans="1:6" x14ac:dyDescent="0.25">
      <c r="A2164" t="s">
        <v>10</v>
      </c>
      <c r="B2164" s="5" t="str">
        <f>HYPERLINK("http://www.broadinstitute.org/gsea/msigdb/cards/REACTOME_L1CAM_INTERACTIONS.html","REACTOME_L1CAM_INTERACTIONS")</f>
        <v>REACTOME_L1CAM_INTERACTIONS</v>
      </c>
      <c r="C2164" s="4">
        <v>67</v>
      </c>
      <c r="D2164" s="3">
        <v>1.316341</v>
      </c>
      <c r="E2164" s="1">
        <v>6.7930489999999996E-2</v>
      </c>
      <c r="F2164" s="2">
        <v>0.17927603</v>
      </c>
    </row>
    <row r="2165" spans="1:6" x14ac:dyDescent="0.25">
      <c r="A2165" t="s">
        <v>6</v>
      </c>
      <c r="B2165" s="5" t="str">
        <f>HYPERLINK("http://www.broadinstitute.org/gsea/msigdb/cards/GOBP_REGULATION_OF_EXTRINSIC_APOPTOTIC_SIGNALING_PATHWAY_VIA_DEATH_DOMAIN_RECEPTORS.html","GOBP_REGULATION_OF_EXTRINSIC_APOPTOTIC_SIGNALING_PATHWAY_VIA_DEATH_DOMAIN_RECEPTORS")</f>
        <v>GOBP_REGULATION_OF_EXTRINSIC_APOPTOTIC_SIGNALING_PATHWAY_VIA_DEATH_DOMAIN_RECEPTORS</v>
      </c>
      <c r="C2165" s="4">
        <v>50</v>
      </c>
      <c r="D2165" s="3">
        <v>1.3157392000000001</v>
      </c>
      <c r="E2165" s="1">
        <v>0.10063898</v>
      </c>
      <c r="F2165" s="2">
        <v>0.17989359999999999</v>
      </c>
    </row>
    <row r="2166" spans="1:6" x14ac:dyDescent="0.25">
      <c r="A2166" t="s">
        <v>6</v>
      </c>
      <c r="B2166" s="5" t="str">
        <f>HYPERLINK("http://www.broadinstitute.org/gsea/msigdb/cards/GOBP_NEGATIVE_REGULATION_OF_EPITHELIAL_CELL_PROLIFERATION.html","GOBP_NEGATIVE_REGULATION_OF_EPITHELIAL_CELL_PROLIFERATION")</f>
        <v>GOBP_NEGATIVE_REGULATION_OF_EPITHELIAL_CELL_PROLIFERATION</v>
      </c>
      <c r="C2166" s="4">
        <v>163</v>
      </c>
      <c r="D2166" s="3">
        <v>1.3154965999999999</v>
      </c>
      <c r="E2166" s="1">
        <v>4.1018390000000002E-2</v>
      </c>
      <c r="F2166" s="2">
        <v>0.18009533</v>
      </c>
    </row>
    <row r="2167" spans="1:6" x14ac:dyDescent="0.25">
      <c r="A2167" t="s">
        <v>7</v>
      </c>
      <c r="B2167" s="5" t="str">
        <f>HYPERLINK("http://www.broadinstitute.org/gsea/msigdb/cards/GOCC_TRAPP_COMPLEX.html","GOCC_TRAPP_COMPLEX")</f>
        <v>GOCC_TRAPP_COMPLEX</v>
      </c>
      <c r="C2167" s="4">
        <v>17</v>
      </c>
      <c r="D2167" s="3">
        <v>1.3150269999999999</v>
      </c>
      <c r="E2167" s="1">
        <v>0.15146299999999999</v>
      </c>
      <c r="F2167" s="2">
        <v>0.18054290000000001</v>
      </c>
    </row>
    <row r="2168" spans="1:6" x14ac:dyDescent="0.25">
      <c r="A2168" t="s">
        <v>6</v>
      </c>
      <c r="B2168" s="5" t="str">
        <f>HYPERLINK("http://www.broadinstitute.org/gsea/msigdb/cards/GOBP_POSITIVE_REGULATION_OF_GLYCOLYTIC_PROCESS.html","GOBP_POSITIVE_REGULATION_OF_GLYCOLYTIC_PROCESS")</f>
        <v>GOBP_POSITIVE_REGULATION_OF_GLYCOLYTIC_PROCESS</v>
      </c>
      <c r="C2168" s="4">
        <v>25</v>
      </c>
      <c r="D2168" s="3">
        <v>1.3145903000000001</v>
      </c>
      <c r="E2168" s="1">
        <v>0.13275861999999999</v>
      </c>
      <c r="F2168" s="2">
        <v>0.18097026999999999</v>
      </c>
    </row>
    <row r="2169" spans="1:6" x14ac:dyDescent="0.25">
      <c r="A2169" t="s">
        <v>10</v>
      </c>
      <c r="B2169" s="5" t="str">
        <f>HYPERLINK("http://www.broadinstitute.org/gsea/msigdb/cards/REACTOME_SIGNALING_BY_TGFB_FAMILY_MEMBERS.html","REACTOME_SIGNALING_BY_TGFB_FAMILY_MEMBERS")</f>
        <v>REACTOME_SIGNALING_BY_TGFB_FAMILY_MEMBERS</v>
      </c>
      <c r="C2169" s="4">
        <v>101</v>
      </c>
      <c r="D2169" s="3">
        <v>1.3141882</v>
      </c>
      <c r="E2169" s="1">
        <v>6.4220180000000002E-2</v>
      </c>
      <c r="F2169" s="2">
        <v>0.18135698</v>
      </c>
    </row>
    <row r="2170" spans="1:6" x14ac:dyDescent="0.25">
      <c r="A2170" t="s">
        <v>6</v>
      </c>
      <c r="B2170" s="5" t="str">
        <f>HYPERLINK("http://www.broadinstitute.org/gsea/msigdb/cards/GOBP_VASCULAR_ASSOCIATED_SMOOTH_MUSCLE_CELL_MIGRATION.html","GOBP_VASCULAR_ASSOCIATED_SMOOTH_MUSCLE_CELL_MIGRATION")</f>
        <v>GOBP_VASCULAR_ASSOCIATED_SMOOTH_MUSCLE_CELL_MIGRATION</v>
      </c>
      <c r="C2170" s="4">
        <v>38</v>
      </c>
      <c r="D2170" s="3">
        <v>1.3141750000000001</v>
      </c>
      <c r="E2170" s="1">
        <v>9.6666663999999999E-2</v>
      </c>
      <c r="F2170" s="2">
        <v>0.18128723999999999</v>
      </c>
    </row>
    <row r="2171" spans="1:6" x14ac:dyDescent="0.25">
      <c r="A2171" t="s">
        <v>6</v>
      </c>
      <c r="B2171" s="5" t="str">
        <f>HYPERLINK("http://www.broadinstitute.org/gsea/msigdb/cards/GOBP_POSITIVE_REGULATION_OF_OSTEOBLAST_PROLIFERATION.html","GOBP_POSITIVE_REGULATION_OF_OSTEOBLAST_PROLIFERATION")</f>
        <v>GOBP_POSITIVE_REGULATION_OF_OSTEOBLAST_PROLIFERATION</v>
      </c>
      <c r="C2171" s="4">
        <v>15</v>
      </c>
      <c r="D2171" s="3">
        <v>1.3140193</v>
      </c>
      <c r="E2171" s="1">
        <v>0.13712374999999999</v>
      </c>
      <c r="F2171" s="2">
        <v>0.18138360000000001</v>
      </c>
    </row>
    <row r="2172" spans="1:6" x14ac:dyDescent="0.25">
      <c r="A2172" t="s">
        <v>6</v>
      </c>
      <c r="B2172" s="5" t="str">
        <f>HYPERLINK("http://www.broadinstitute.org/gsea/msigdb/cards/GOBP_RESPONSE_TO_PURINE_CONTAINING_COMPOUND.html","GOBP_RESPONSE_TO_PURINE_CONTAINING_COMPOUND")</f>
        <v>GOBP_RESPONSE_TO_PURINE_CONTAINING_COMPOUND</v>
      </c>
      <c r="C2172" s="4">
        <v>112</v>
      </c>
      <c r="D2172" s="3">
        <v>1.3134882000000001</v>
      </c>
      <c r="E2172" s="1">
        <v>3.8461540000000002E-2</v>
      </c>
      <c r="F2172" s="2">
        <v>0.18188051999999999</v>
      </c>
    </row>
    <row r="2173" spans="1:6" x14ac:dyDescent="0.25">
      <c r="A2173" t="s">
        <v>8</v>
      </c>
      <c r="B2173" s="5" t="str">
        <f>HYPERLINK("http://www.broadinstitute.org/gsea/msigdb/cards/GOMF_PROTEIN_SELF_ASSOCIATION.html","GOMF_PROTEIN_SELF_ASSOCIATION")</f>
        <v>GOMF_PROTEIN_SELF_ASSOCIATION</v>
      </c>
      <c r="C2173" s="4">
        <v>86</v>
      </c>
      <c r="D2173" s="3">
        <v>1.3130980999999999</v>
      </c>
      <c r="E2173" s="1">
        <v>5.6923077000000002E-2</v>
      </c>
      <c r="F2173" s="2">
        <v>0.18224096000000001</v>
      </c>
    </row>
    <row r="2174" spans="1:6" x14ac:dyDescent="0.25">
      <c r="A2174" t="s">
        <v>8</v>
      </c>
      <c r="B2174" s="5" t="str">
        <f>HYPERLINK("http://www.broadinstitute.org/gsea/msigdb/cards/GOMF_OXIDOREDUCTASE_ACTIVITY_ACTING_ON_A_SULFUR_GROUP_OF_DONORS.html","GOMF_OXIDOREDUCTASE_ACTIVITY_ACTING_ON_A_SULFUR_GROUP_OF_DONORS")</f>
        <v>GOMF_OXIDOREDUCTASE_ACTIVITY_ACTING_ON_A_SULFUR_GROUP_OF_DONORS</v>
      </c>
      <c r="C2174" s="4">
        <v>51</v>
      </c>
      <c r="D2174" s="3">
        <v>1.3125005000000001</v>
      </c>
      <c r="E2174" s="1">
        <v>8.9576550000000005E-2</v>
      </c>
      <c r="F2174" s="2">
        <v>0.18283719000000001</v>
      </c>
    </row>
    <row r="2175" spans="1:6" x14ac:dyDescent="0.25">
      <c r="A2175" t="s">
        <v>10</v>
      </c>
      <c r="B2175" s="5" t="str">
        <f>HYPERLINK("http://www.broadinstitute.org/gsea/msigdb/cards/REACTOME_SIGNALING_BY_FGFR3.html","REACTOME_SIGNALING_BY_FGFR3")</f>
        <v>REACTOME_SIGNALING_BY_FGFR3</v>
      </c>
      <c r="C2175" s="4">
        <v>39</v>
      </c>
      <c r="D2175" s="3">
        <v>1.3124483</v>
      </c>
      <c r="E2175" s="1">
        <v>0.11003236499999999</v>
      </c>
      <c r="F2175" s="2">
        <v>0.18280494</v>
      </c>
    </row>
    <row r="2176" spans="1:6" x14ac:dyDescent="0.25">
      <c r="A2176" t="s">
        <v>6</v>
      </c>
      <c r="B2176" s="5" t="str">
        <f>HYPERLINK("http://www.broadinstitute.org/gsea/msigdb/cards/GOBP_PROTEIN_LOCALIZATION_TO_NUCLEUS.html","GOBP_PROTEIN_LOCALIZATION_TO_NUCLEUS")</f>
        <v>GOBP_PROTEIN_LOCALIZATION_TO_NUCLEUS</v>
      </c>
      <c r="C2176" s="4">
        <v>324</v>
      </c>
      <c r="D2176" s="3">
        <v>1.3123484000000001</v>
      </c>
      <c r="E2176" s="1">
        <v>1.1734028000000001E-2</v>
      </c>
      <c r="F2176" s="2">
        <v>0.18283579</v>
      </c>
    </row>
    <row r="2177" spans="1:6" x14ac:dyDescent="0.25">
      <c r="A2177" t="s">
        <v>8</v>
      </c>
      <c r="B2177" s="5" t="str">
        <f>HYPERLINK("http://www.broadinstitute.org/gsea/msigdb/cards/GOMF_PHOSPHORIC_ESTER_HYDROLASE_ACTIVITY.html","GOMF_PHOSPHORIC_ESTER_HYDROLASE_ACTIVITY")</f>
        <v>GOMF_PHOSPHORIC_ESTER_HYDROLASE_ACTIVITY</v>
      </c>
      <c r="C2177" s="4">
        <v>335</v>
      </c>
      <c r="D2177" s="3">
        <v>1.3122452</v>
      </c>
      <c r="E2177" s="1">
        <v>1.3210039999999999E-2</v>
      </c>
      <c r="F2177" s="2">
        <v>0.18287580000000001</v>
      </c>
    </row>
    <row r="2178" spans="1:6" x14ac:dyDescent="0.25">
      <c r="A2178" t="s">
        <v>11</v>
      </c>
      <c r="B2178" s="5" t="str">
        <f>HYPERLINK("http://www.broadinstitute.org/gsea/msigdb/cards/WP_HYPERTROPHY_MODEL.html","WP_HYPERTROPHY_MODEL")</f>
        <v>WP_HYPERTROPHY_MODEL</v>
      </c>
      <c r="C2178" s="4">
        <v>19</v>
      </c>
      <c r="D2178" s="3">
        <v>1.3120316000000001</v>
      </c>
      <c r="E2178" s="1">
        <v>0.12543555000000001</v>
      </c>
      <c r="F2178" s="2">
        <v>0.18303332999999999</v>
      </c>
    </row>
    <row r="2179" spans="1:6" x14ac:dyDescent="0.25">
      <c r="A2179" t="s">
        <v>6</v>
      </c>
      <c r="B2179" s="5" t="str">
        <f>HYPERLINK("http://www.broadinstitute.org/gsea/msigdb/cards/GOBP_DETECTION_OF_STIMULUS_INVOLVED_IN_SENSORY_PERCEPTION_OF_PAIN.html","GOBP_DETECTION_OF_STIMULUS_INVOLVED_IN_SENSORY_PERCEPTION_OF_PAIN")</f>
        <v>GOBP_DETECTION_OF_STIMULUS_INVOLVED_IN_SENSORY_PERCEPTION_OF_PAIN</v>
      </c>
      <c r="C2179" s="4">
        <v>39</v>
      </c>
      <c r="D2179" s="3">
        <v>1.3120284</v>
      </c>
      <c r="E2179" s="1">
        <v>0.120200336</v>
      </c>
      <c r="F2179" s="2">
        <v>0.18295317999999999</v>
      </c>
    </row>
    <row r="2180" spans="1:6" x14ac:dyDescent="0.25">
      <c r="A2180" t="s">
        <v>6</v>
      </c>
      <c r="B2180" s="5" t="str">
        <f>HYPERLINK("http://www.broadinstitute.org/gsea/msigdb/cards/GOBP_ORGANELLE_MEMBRANE_FUSION.html","GOBP_ORGANELLE_MEMBRANE_FUSION")</f>
        <v>GOBP_ORGANELLE_MEMBRANE_FUSION</v>
      </c>
      <c r="C2180" s="4">
        <v>127</v>
      </c>
      <c r="D2180" s="3">
        <v>1.3119608</v>
      </c>
      <c r="E2180" s="1">
        <v>3.9301309999999999E-2</v>
      </c>
      <c r="F2180" s="2">
        <v>0.18294983000000001</v>
      </c>
    </row>
    <row r="2181" spans="1:6" x14ac:dyDescent="0.25">
      <c r="A2181" t="s">
        <v>6</v>
      </c>
      <c r="B2181" s="5" t="str">
        <f>HYPERLINK("http://www.broadinstitute.org/gsea/msigdb/cards/GOBP_VIRAL_RELEASE_FROM_HOST_CELL.html","GOBP_VIRAL_RELEASE_FROM_HOST_CELL")</f>
        <v>GOBP_VIRAL_RELEASE_FROM_HOST_CELL</v>
      </c>
      <c r="C2181" s="4">
        <v>23</v>
      </c>
      <c r="D2181" s="3">
        <v>1.3115954000000001</v>
      </c>
      <c r="E2181" s="1">
        <v>0.121527776</v>
      </c>
      <c r="F2181" s="2">
        <v>0.18328322</v>
      </c>
    </row>
    <row r="2182" spans="1:6" x14ac:dyDescent="0.25">
      <c r="A2182" t="s">
        <v>6</v>
      </c>
      <c r="B2182" s="5" t="str">
        <f>HYPERLINK("http://www.broadinstitute.org/gsea/msigdb/cards/GOBP_REGULATION_OF_RELEASE_OF_SEQUESTERED_CALCIUM_ION_INTO_CYTOSOL.html","GOBP_REGULATION_OF_RELEASE_OF_SEQUESTERED_CALCIUM_ION_INTO_CYTOSOL")</f>
        <v>GOBP_REGULATION_OF_RELEASE_OF_SEQUESTERED_CALCIUM_ION_INTO_CYTOSOL</v>
      </c>
      <c r="C2182" s="4">
        <v>80</v>
      </c>
      <c r="D2182" s="3">
        <v>1.3113478000000001</v>
      </c>
      <c r="E2182" s="1">
        <v>6.7292645999999998E-2</v>
      </c>
      <c r="F2182" s="2">
        <v>0.18348579000000001</v>
      </c>
    </row>
    <row r="2183" spans="1:6" x14ac:dyDescent="0.25">
      <c r="A2183" t="s">
        <v>6</v>
      </c>
      <c r="B2183" s="5" t="str">
        <f>HYPERLINK("http://www.broadinstitute.org/gsea/msigdb/cards/GOBP_POSITIVE_REGULATION_OF_PROTEIN_POLYMERIZATION.html","GOBP_POSITIVE_REGULATION_OF_PROTEIN_POLYMERIZATION")</f>
        <v>GOBP_POSITIVE_REGULATION_OF_PROTEIN_POLYMERIZATION</v>
      </c>
      <c r="C2183" s="4">
        <v>89</v>
      </c>
      <c r="D2183" s="3">
        <v>1.3111801000000001</v>
      </c>
      <c r="E2183" s="1">
        <v>5.2631579999999997E-2</v>
      </c>
      <c r="F2183" s="2">
        <v>0.18358947</v>
      </c>
    </row>
    <row r="2184" spans="1:6" x14ac:dyDescent="0.25">
      <c r="A2184" t="s">
        <v>6</v>
      </c>
      <c r="B2184" s="5" t="str">
        <f>HYPERLINK("http://www.broadinstitute.org/gsea/msigdb/cards/GOBP_GANGLIOSIDE_BIOSYNTHETIC_PROCESS.html","GOBP_GANGLIOSIDE_BIOSYNTHETIC_PROCESS")</f>
        <v>GOBP_GANGLIOSIDE_BIOSYNTHETIC_PROCESS</v>
      </c>
      <c r="C2184" s="4">
        <v>16</v>
      </c>
      <c r="D2184" s="3">
        <v>1.3105815999999999</v>
      </c>
      <c r="E2184" s="1">
        <v>0.106086954</v>
      </c>
      <c r="F2184" s="2">
        <v>0.18418089000000001</v>
      </c>
    </row>
    <row r="2185" spans="1:6" x14ac:dyDescent="0.25">
      <c r="A2185" t="s">
        <v>6</v>
      </c>
      <c r="B2185" s="5" t="str">
        <f>HYPERLINK("http://www.broadinstitute.org/gsea/msigdb/cards/GOBP_PLATELET_MORPHOGENESIS.html","GOBP_PLATELET_MORPHOGENESIS")</f>
        <v>GOBP_PLATELET_MORPHOGENESIS</v>
      </c>
      <c r="C2185" s="4">
        <v>24</v>
      </c>
      <c r="D2185" s="3">
        <v>1.3100946</v>
      </c>
      <c r="E2185" s="1">
        <v>0.11824324</v>
      </c>
      <c r="F2185" s="2">
        <v>0.18468644000000001</v>
      </c>
    </row>
    <row r="2186" spans="1:6" x14ac:dyDescent="0.25">
      <c r="A2186" t="s">
        <v>6</v>
      </c>
      <c r="B2186" s="5" t="str">
        <f>HYPERLINK("http://www.broadinstitute.org/gsea/msigdb/cards/GOBP_NEGATIVE_REGULATION_OF_ALPHA_BETA_T_CELL_ACTIVATION.html","GOBP_NEGATIVE_REGULATION_OF_ALPHA_BETA_T_CELL_ACTIVATION")</f>
        <v>GOBP_NEGATIVE_REGULATION_OF_ALPHA_BETA_T_CELL_ACTIVATION</v>
      </c>
      <c r="C2186" s="4">
        <v>47</v>
      </c>
      <c r="D2186" s="3">
        <v>1.30938</v>
      </c>
      <c r="E2186" s="1">
        <v>7.9674795000000007E-2</v>
      </c>
      <c r="F2186" s="2">
        <v>0.18545590000000001</v>
      </c>
    </row>
    <row r="2187" spans="1:6" x14ac:dyDescent="0.25">
      <c r="A2187" t="s">
        <v>6</v>
      </c>
      <c r="B2187" s="5" t="str">
        <f>HYPERLINK("http://www.broadinstitute.org/gsea/msigdb/cards/GOBP_NEGATIVE_REGULATION_OF_SMOOTH_MUSCLE_CELL_MIGRATION.html","GOBP_NEGATIVE_REGULATION_OF_SMOOTH_MUSCLE_CELL_MIGRATION")</f>
        <v>GOBP_NEGATIVE_REGULATION_OF_SMOOTH_MUSCLE_CELL_MIGRATION</v>
      </c>
      <c r="C2187" s="4">
        <v>37</v>
      </c>
      <c r="D2187" s="3">
        <v>1.3081981</v>
      </c>
      <c r="E2187" s="1">
        <v>0.12182741</v>
      </c>
      <c r="F2187" s="2">
        <v>0.18673648000000001</v>
      </c>
    </row>
    <row r="2188" spans="1:6" x14ac:dyDescent="0.25">
      <c r="A2188" t="s">
        <v>10</v>
      </c>
      <c r="B2188" s="5" t="str">
        <f>HYPERLINK("http://www.broadinstitute.org/gsea/msigdb/cards/REACTOME_GABA_B_RECEPTOR_ACTIVATION.html","REACTOME_GABA_B_RECEPTOR_ACTIVATION")</f>
        <v>REACTOME_GABA_B_RECEPTOR_ACTIVATION</v>
      </c>
      <c r="C2188" s="4">
        <v>42</v>
      </c>
      <c r="D2188" s="3">
        <v>1.3081708000000001</v>
      </c>
      <c r="E2188" s="1">
        <v>8.6805549999999995E-2</v>
      </c>
      <c r="F2188" s="2">
        <v>0.18668224</v>
      </c>
    </row>
    <row r="2189" spans="1:6" x14ac:dyDescent="0.25">
      <c r="A2189" t="s">
        <v>6</v>
      </c>
      <c r="B2189" s="5" t="str">
        <f>HYPERLINK("http://www.broadinstitute.org/gsea/msigdb/cards/GOBP_REGULATION_OF_THYMOCYTE_APOPTOTIC_PROCESS.html","GOBP_REGULATION_OF_THYMOCYTE_APOPTOTIC_PROCESS")</f>
        <v>GOBP_REGULATION_OF_THYMOCYTE_APOPTOTIC_PROCESS</v>
      </c>
      <c r="C2189" s="4">
        <v>19</v>
      </c>
      <c r="D2189" s="3">
        <v>1.3079988</v>
      </c>
      <c r="E2189" s="1">
        <v>0.13854352</v>
      </c>
      <c r="F2189" s="2">
        <v>0.18679746999999999</v>
      </c>
    </row>
    <row r="2190" spans="1:6" x14ac:dyDescent="0.25">
      <c r="A2190" t="s">
        <v>6</v>
      </c>
      <c r="B2190" s="5" t="str">
        <f>HYPERLINK("http://www.broadinstitute.org/gsea/msigdb/cards/GOBP_CERAMIDE_BIOSYNTHETIC_PROCESS.html","GOBP_CERAMIDE_BIOSYNTHETIC_PROCESS")</f>
        <v>GOBP_CERAMIDE_BIOSYNTHETIC_PROCESS</v>
      </c>
      <c r="C2190" s="4">
        <v>67</v>
      </c>
      <c r="D2190" s="3">
        <v>1.3079113</v>
      </c>
      <c r="E2190" s="1">
        <v>6.7103109999999994E-2</v>
      </c>
      <c r="F2190" s="2">
        <v>0.18682705999999999</v>
      </c>
    </row>
    <row r="2191" spans="1:6" x14ac:dyDescent="0.25">
      <c r="A2191" t="s">
        <v>6</v>
      </c>
      <c r="B2191" s="5" t="str">
        <f>HYPERLINK("http://www.broadinstitute.org/gsea/msigdb/cards/GOBP_POSITIVE_REGULATION_OF_PROTEIN_SECRETION.html","GOBP_POSITIVE_REGULATION_OF_PROTEIN_SECRETION")</f>
        <v>GOBP_POSITIVE_REGULATION_OF_PROTEIN_SECRETION</v>
      </c>
      <c r="C2191" s="4">
        <v>174</v>
      </c>
      <c r="D2191" s="3">
        <v>1.3077536000000001</v>
      </c>
      <c r="E2191" s="1">
        <v>3.7037037000000002E-2</v>
      </c>
      <c r="F2191" s="2">
        <v>0.18692980000000001</v>
      </c>
    </row>
    <row r="2192" spans="1:6" x14ac:dyDescent="0.25">
      <c r="A2192" t="s">
        <v>6</v>
      </c>
      <c r="B2192" s="5" t="str">
        <f>HYPERLINK("http://www.broadinstitute.org/gsea/msigdb/cards/GOBP_POLYOL_BIOSYNTHETIC_PROCESS.html","GOBP_POLYOL_BIOSYNTHETIC_PROCESS")</f>
        <v>GOBP_POLYOL_BIOSYNTHETIC_PROCESS</v>
      </c>
      <c r="C2192" s="4">
        <v>63</v>
      </c>
      <c r="D2192" s="3">
        <v>1.3076242</v>
      </c>
      <c r="E2192" s="1">
        <v>0.10327869000000001</v>
      </c>
      <c r="F2192" s="2">
        <v>0.18700186999999999</v>
      </c>
    </row>
    <row r="2193" spans="1:6" x14ac:dyDescent="0.25">
      <c r="A2193" t="s">
        <v>11</v>
      </c>
      <c r="B2193" s="5" t="str">
        <f>HYPERLINK("http://www.broadinstitute.org/gsea/msigdb/cards/WP_BLOOD_CLOTTING_CASCADE.html","WP_BLOOD_CLOTTING_CASCADE")</f>
        <v>WP_BLOOD_CLOTTING_CASCADE</v>
      </c>
      <c r="C2193" s="4">
        <v>20</v>
      </c>
      <c r="D2193" s="3">
        <v>1.307318</v>
      </c>
      <c r="E2193" s="1">
        <v>0.13756613000000001</v>
      </c>
      <c r="F2193" s="2">
        <v>0.18726316000000001</v>
      </c>
    </row>
    <row r="2194" spans="1:6" x14ac:dyDescent="0.25">
      <c r="A2194" t="s">
        <v>6</v>
      </c>
      <c r="B2194" s="5" t="str">
        <f>HYPERLINK("http://www.broadinstitute.org/gsea/msigdb/cards/GOBP_REGULATION_OF_CELLULAR_COMPONENT_SIZE.html","GOBP_REGULATION_OF_CELLULAR_COMPONENT_SIZE")</f>
        <v>GOBP_REGULATION_OF_CELLULAR_COMPONENT_SIZE</v>
      </c>
      <c r="C2194" s="4">
        <v>402</v>
      </c>
      <c r="D2194" s="3">
        <v>1.3071287</v>
      </c>
      <c r="E2194" s="1">
        <v>1.4138817999999999E-2</v>
      </c>
      <c r="F2194" s="2">
        <v>0.18743077999999999</v>
      </c>
    </row>
    <row r="2195" spans="1:6" x14ac:dyDescent="0.25">
      <c r="A2195" t="s">
        <v>9</v>
      </c>
      <c r="B2195" s="5" t="str">
        <f>HYPERLINK("http://www.broadinstitute.org/gsea/msigdb/cards/HALLMARK_ESTROGEN_RESPONSE_EARLY.html","HALLMARK_ESTROGEN_RESPONSE_EARLY")</f>
        <v>HALLMARK_ESTROGEN_RESPONSE_EARLY</v>
      </c>
      <c r="C2195" s="4">
        <v>195</v>
      </c>
      <c r="D2195" s="3">
        <v>1.3071164</v>
      </c>
      <c r="E2195" s="1">
        <v>4.1666667999999997E-2</v>
      </c>
      <c r="F2195" s="2">
        <v>0.1873552</v>
      </c>
    </row>
    <row r="2196" spans="1:6" x14ac:dyDescent="0.25">
      <c r="A2196" t="s">
        <v>8</v>
      </c>
      <c r="B2196" s="5" t="str">
        <f>HYPERLINK("http://www.broadinstitute.org/gsea/msigdb/cards/GOMF_INTERLEUKIN_1_RECEPTOR_BINDING.html","GOMF_INTERLEUKIN_1_RECEPTOR_BINDING")</f>
        <v>GOMF_INTERLEUKIN_1_RECEPTOR_BINDING</v>
      </c>
      <c r="C2196" s="4">
        <v>15</v>
      </c>
      <c r="D2196" s="3">
        <v>1.3070586</v>
      </c>
      <c r="E2196" s="1">
        <v>0.13028765</v>
      </c>
      <c r="F2196" s="2">
        <v>0.18733153999999999</v>
      </c>
    </row>
    <row r="2197" spans="1:6" x14ac:dyDescent="0.25">
      <c r="A2197" t="s">
        <v>6</v>
      </c>
      <c r="B2197" s="5" t="str">
        <f>HYPERLINK("http://www.broadinstitute.org/gsea/msigdb/cards/GOBP_REGULATION_OF_LIPID_CATABOLIC_PROCESS.html","GOBP_REGULATION_OF_LIPID_CATABOLIC_PROCESS")</f>
        <v>GOBP_REGULATION_OF_LIPID_CATABOLIC_PROCESS</v>
      </c>
      <c r="C2197" s="4">
        <v>67</v>
      </c>
      <c r="D2197" s="3">
        <v>1.3068111</v>
      </c>
      <c r="E2197" s="1">
        <v>8.1967209999999999E-2</v>
      </c>
      <c r="F2197" s="2">
        <v>0.18755426</v>
      </c>
    </row>
    <row r="2198" spans="1:6" x14ac:dyDescent="0.25">
      <c r="A2198" t="s">
        <v>8</v>
      </c>
      <c r="B2198" s="5" t="str">
        <f>HYPERLINK("http://www.broadinstitute.org/gsea/msigdb/cards/GOMF_PHOSPHATIDYLGLYCEROL_BINDING.html","GOMF_PHOSPHATIDYLGLYCEROL_BINDING")</f>
        <v>GOMF_PHOSPHATIDYLGLYCEROL_BINDING</v>
      </c>
      <c r="C2198" s="4">
        <v>16</v>
      </c>
      <c r="D2198" s="3">
        <v>1.3065560000000001</v>
      </c>
      <c r="E2198" s="1">
        <v>0.13095239</v>
      </c>
      <c r="F2198" s="2">
        <v>0.18776298999999999</v>
      </c>
    </row>
    <row r="2199" spans="1:6" x14ac:dyDescent="0.25">
      <c r="A2199" t="s">
        <v>6</v>
      </c>
      <c r="B2199" s="5" t="str">
        <f>HYPERLINK("http://www.broadinstitute.org/gsea/msigdb/cards/GOBP_REGULATION_OF_FIBROBLAST_PROLIFERATION.html","GOBP_REGULATION_OF_FIBROBLAST_PROLIFERATION")</f>
        <v>GOBP_REGULATION_OF_FIBROBLAST_PROLIFERATION</v>
      </c>
      <c r="C2199" s="4">
        <v>124</v>
      </c>
      <c r="D2199" s="3">
        <v>1.3059780999999999</v>
      </c>
      <c r="E2199" s="1">
        <v>5.2388287999999998E-2</v>
      </c>
      <c r="F2199" s="2">
        <v>0.18837391000000001</v>
      </c>
    </row>
    <row r="2200" spans="1:6" x14ac:dyDescent="0.25">
      <c r="A2200" t="s">
        <v>6</v>
      </c>
      <c r="B2200" s="5" t="str">
        <f>HYPERLINK("http://www.broadinstitute.org/gsea/msigdb/cards/GOBP_CELLULAR_RESPONSE_TO_PROSTAGLANDIN_STIMULUS.html","GOBP_CELLULAR_RESPONSE_TO_PROSTAGLANDIN_STIMULUS")</f>
        <v>GOBP_CELLULAR_RESPONSE_TO_PROSTAGLANDIN_STIMULUS</v>
      </c>
      <c r="C2200" s="4">
        <v>20</v>
      </c>
      <c r="D2200" s="3">
        <v>1.3056871999999999</v>
      </c>
      <c r="E2200" s="1">
        <v>0.14381272</v>
      </c>
      <c r="F2200" s="2">
        <v>0.18862459000000001</v>
      </c>
    </row>
    <row r="2201" spans="1:6" x14ac:dyDescent="0.25">
      <c r="A2201" t="s">
        <v>6</v>
      </c>
      <c r="B2201" s="5" t="str">
        <f>HYPERLINK("http://www.broadinstitute.org/gsea/msigdb/cards/GOBP_POSITIVE_REGULATION_OF_HORMONE_SECRETION.html","GOBP_POSITIVE_REGULATION_OF_HORMONE_SECRETION")</f>
        <v>GOBP_POSITIVE_REGULATION_OF_HORMONE_SECRETION</v>
      </c>
      <c r="C2201" s="4">
        <v>183</v>
      </c>
      <c r="D2201" s="3">
        <v>1.3055327999999999</v>
      </c>
      <c r="E2201" s="1">
        <v>3.4632034999999999E-2</v>
      </c>
      <c r="F2201" s="2">
        <v>0.18873613</v>
      </c>
    </row>
    <row r="2202" spans="1:6" x14ac:dyDescent="0.25">
      <c r="A2202" t="s">
        <v>6</v>
      </c>
      <c r="B2202" s="5" t="str">
        <f>HYPERLINK("http://www.broadinstitute.org/gsea/msigdb/cards/GOBP_NUCLEOSIDE_MONOPHOSPHATE_METABOLIC_PROCESS.html","GOBP_NUCLEOSIDE_MONOPHOSPHATE_METABOLIC_PROCESS")</f>
        <v>GOBP_NUCLEOSIDE_MONOPHOSPHATE_METABOLIC_PROCESS</v>
      </c>
      <c r="C2202" s="4">
        <v>65</v>
      </c>
      <c r="D2202" s="3">
        <v>1.3052603</v>
      </c>
      <c r="E2202" s="1">
        <v>8.2812499999999997E-2</v>
      </c>
      <c r="F2202" s="2">
        <v>0.1889583</v>
      </c>
    </row>
    <row r="2203" spans="1:6" x14ac:dyDescent="0.25">
      <c r="A2203" t="s">
        <v>6</v>
      </c>
      <c r="B2203" s="5" t="str">
        <f>HYPERLINK("http://www.broadinstitute.org/gsea/msigdb/cards/GOBP_REGULATION_OF_B_CELL_APOPTOTIC_PROCESS.html","GOBP_REGULATION_OF_B_CELL_APOPTOTIC_PROCESS")</f>
        <v>GOBP_REGULATION_OF_B_CELL_APOPTOTIC_PROCESS</v>
      </c>
      <c r="C2203" s="4">
        <v>23</v>
      </c>
      <c r="D2203" s="3">
        <v>1.3051961999999999</v>
      </c>
      <c r="E2203" s="1">
        <v>0.14043992999999999</v>
      </c>
      <c r="F2203" s="2">
        <v>0.18895026000000001</v>
      </c>
    </row>
    <row r="2204" spans="1:6" x14ac:dyDescent="0.25">
      <c r="A2204" t="s">
        <v>6</v>
      </c>
      <c r="B2204" s="5" t="str">
        <f>HYPERLINK("http://www.broadinstitute.org/gsea/msigdb/cards/GOBP_CHONDROITIN_SULFATE_BIOSYNTHETIC_PROCESS.html","GOBP_CHONDROITIN_SULFATE_BIOSYNTHETIC_PROCESS")</f>
        <v>GOBP_CHONDROITIN_SULFATE_BIOSYNTHETIC_PROCESS</v>
      </c>
      <c r="C2204" s="4">
        <v>15</v>
      </c>
      <c r="D2204" s="3">
        <v>1.304991</v>
      </c>
      <c r="E2204" s="1">
        <v>0.16279070000000001</v>
      </c>
      <c r="F2204" s="2">
        <v>0.18912361999999999</v>
      </c>
    </row>
    <row r="2205" spans="1:6" x14ac:dyDescent="0.25">
      <c r="A2205" t="s">
        <v>6</v>
      </c>
      <c r="B2205" s="5" t="str">
        <f>HYPERLINK("http://www.broadinstitute.org/gsea/msigdb/cards/GOBP_ESTABLISHMENT_OF_TISSUE_POLARITY.html","GOBP_ESTABLISHMENT_OF_TISSUE_POLARITY")</f>
        <v>GOBP_ESTABLISHMENT_OF_TISSUE_POLARITY</v>
      </c>
      <c r="C2205" s="4">
        <v>65</v>
      </c>
      <c r="D2205" s="3">
        <v>1.3048047</v>
      </c>
      <c r="E2205" s="1">
        <v>8.7301589999999998E-2</v>
      </c>
      <c r="F2205" s="2">
        <v>0.18924558</v>
      </c>
    </row>
    <row r="2206" spans="1:6" x14ac:dyDescent="0.25">
      <c r="A2206" t="s">
        <v>6</v>
      </c>
      <c r="B2206" s="5" t="str">
        <f>HYPERLINK("http://www.broadinstitute.org/gsea/msigdb/cards/GOBP_ACTIVATION_OF_CYSTEINE_TYPE_ENDOPEPTIDASE_ACTIVITY.html","GOBP_ACTIVATION_OF_CYSTEINE_TYPE_ENDOPEPTIDASE_ACTIVITY")</f>
        <v>GOBP_ACTIVATION_OF_CYSTEINE_TYPE_ENDOPEPTIDASE_ACTIVITY</v>
      </c>
      <c r="C2206" s="4">
        <v>15</v>
      </c>
      <c r="D2206" s="3">
        <v>1.3047751000000001</v>
      </c>
      <c r="E2206" s="1">
        <v>0.13798977000000001</v>
      </c>
      <c r="F2206" s="2">
        <v>0.18919462000000001</v>
      </c>
    </row>
    <row r="2207" spans="1:6" x14ac:dyDescent="0.25">
      <c r="A2207" t="s">
        <v>6</v>
      </c>
      <c r="B2207" s="5" t="str">
        <f>HYPERLINK("http://www.broadinstitute.org/gsea/msigdb/cards/GOBP_GLUCOSE_IMPORT.html","GOBP_GLUCOSE_IMPORT")</f>
        <v>GOBP_GLUCOSE_IMPORT</v>
      </c>
      <c r="C2207" s="4">
        <v>82</v>
      </c>
      <c r="D2207" s="3">
        <v>1.3047675999999999</v>
      </c>
      <c r="E2207" s="1">
        <v>6.7716540000000006E-2</v>
      </c>
      <c r="F2207" s="2">
        <v>0.18912250999999999</v>
      </c>
    </row>
    <row r="2208" spans="1:6" x14ac:dyDescent="0.25">
      <c r="A2208" t="s">
        <v>7</v>
      </c>
      <c r="B2208" s="5" t="str">
        <f>HYPERLINK("http://www.broadinstitute.org/gsea/msigdb/cards/GOCC_POSTSYNAPTIC_ACTIN_CYTOSKELETON.html","GOCC_POSTSYNAPTIC_ACTIN_CYTOSKELETON")</f>
        <v>GOCC_POSTSYNAPTIC_ACTIN_CYTOSKELETON</v>
      </c>
      <c r="C2208" s="4">
        <v>16</v>
      </c>
      <c r="D2208" s="3">
        <v>1.3044789999999999</v>
      </c>
      <c r="E2208" s="1">
        <v>0.14480409</v>
      </c>
      <c r="F2208" s="2">
        <v>0.18937667</v>
      </c>
    </row>
    <row r="2209" spans="1:6" x14ac:dyDescent="0.25">
      <c r="A2209" t="s">
        <v>6</v>
      </c>
      <c r="B2209" s="5" t="str">
        <f>HYPERLINK("http://www.broadinstitute.org/gsea/msigdb/cards/GOBP_STRESS_FIBER_ASSEMBLY.html","GOBP_STRESS_FIBER_ASSEMBLY")</f>
        <v>GOBP_STRESS_FIBER_ASSEMBLY</v>
      </c>
      <c r="C2209" s="4">
        <v>117</v>
      </c>
      <c r="D2209" s="3">
        <v>1.304324</v>
      </c>
      <c r="E2209" s="1">
        <v>5.9420290000000001E-2</v>
      </c>
      <c r="F2209" s="2">
        <v>0.18948670000000001</v>
      </c>
    </row>
    <row r="2210" spans="1:6" x14ac:dyDescent="0.25">
      <c r="A2210" t="s">
        <v>6</v>
      </c>
      <c r="B2210" s="5" t="str">
        <f>HYPERLINK("http://www.broadinstitute.org/gsea/msigdb/cards/GOBP_RESPONSE_TO_INORGANIC_SUBSTANCE.html","GOBP_RESPONSE_TO_INORGANIC_SUBSTANCE")</f>
        <v>GOBP_RESPONSE_TO_INORGANIC_SUBSTANCE</v>
      </c>
      <c r="C2210" s="4">
        <v>474</v>
      </c>
      <c r="D2210" s="3">
        <v>1.3042463</v>
      </c>
      <c r="E2210" s="1">
        <v>3.7313431999999999E-3</v>
      </c>
      <c r="F2210" s="2">
        <v>0.18947995000000001</v>
      </c>
    </row>
    <row r="2211" spans="1:6" x14ac:dyDescent="0.25">
      <c r="A2211" t="s">
        <v>6</v>
      </c>
      <c r="B2211" s="5" t="str">
        <f>HYPERLINK("http://www.broadinstitute.org/gsea/msigdb/cards/GOBP_PROTEIN_POLYUBIQUITINATION.html","GOBP_PROTEIN_POLYUBIQUITINATION")</f>
        <v>GOBP_PROTEIN_POLYUBIQUITINATION</v>
      </c>
      <c r="C2211" s="4">
        <v>240</v>
      </c>
      <c r="D2211" s="3">
        <v>1.3037704999999999</v>
      </c>
      <c r="E2211" s="1">
        <v>2.3709903000000001E-2</v>
      </c>
      <c r="F2211" s="2">
        <v>0.18995123</v>
      </c>
    </row>
    <row r="2212" spans="1:6" x14ac:dyDescent="0.25">
      <c r="A2212" t="s">
        <v>6</v>
      </c>
      <c r="B2212" s="5" t="str">
        <f>HYPERLINK("http://www.broadinstitute.org/gsea/msigdb/cards/GOBP_INTRACELLULAR_ZINC_ION_HOMEOSTASIS.html","GOBP_INTRACELLULAR_ZINC_ION_HOMEOSTASIS")</f>
        <v>GOBP_INTRACELLULAR_ZINC_ION_HOMEOSTASIS</v>
      </c>
      <c r="C2212" s="4">
        <v>27</v>
      </c>
      <c r="D2212" s="3">
        <v>1.3036726000000001</v>
      </c>
      <c r="E2212" s="1">
        <v>0.12071778</v>
      </c>
      <c r="F2212" s="2">
        <v>0.18998182</v>
      </c>
    </row>
    <row r="2213" spans="1:6" x14ac:dyDescent="0.25">
      <c r="A2213" t="s">
        <v>6</v>
      </c>
      <c r="B2213" s="5" t="str">
        <f>HYPERLINK("http://www.broadinstitute.org/gsea/msigdb/cards/GOBP_EPITHELIAL_CELL_DIFFERENTIATION_INVOLVED_IN_KIDNEY_DEVELOPMENT.html","GOBP_EPITHELIAL_CELL_DIFFERENTIATION_INVOLVED_IN_KIDNEY_DEVELOPMENT")</f>
        <v>GOBP_EPITHELIAL_CELL_DIFFERENTIATION_INVOLVED_IN_KIDNEY_DEVELOPMENT</v>
      </c>
      <c r="C2213" s="4">
        <v>39</v>
      </c>
      <c r="D2213" s="3">
        <v>1.3036238</v>
      </c>
      <c r="E2213" s="1">
        <v>0.101200685</v>
      </c>
      <c r="F2213" s="2">
        <v>0.18994490999999999</v>
      </c>
    </row>
    <row r="2214" spans="1:6" x14ac:dyDescent="0.25">
      <c r="A2214" t="s">
        <v>8</v>
      </c>
      <c r="B2214" s="5" t="str">
        <f>HYPERLINK("http://www.broadinstitute.org/gsea/msigdb/cards/GOMF_ENZYME_INHIBITOR_ACTIVITY.html","GOMF_ENZYME_INHIBITOR_ACTIVITY")</f>
        <v>GOMF_ENZYME_INHIBITOR_ACTIVITY</v>
      </c>
      <c r="C2214" s="4">
        <v>363</v>
      </c>
      <c r="D2214" s="3">
        <v>1.3032790000000001</v>
      </c>
      <c r="E2214" s="1">
        <v>7.9051390000000003E-3</v>
      </c>
      <c r="F2214" s="2">
        <v>0.19028365999999999</v>
      </c>
    </row>
    <row r="2215" spans="1:6" x14ac:dyDescent="0.25">
      <c r="A2215" t="s">
        <v>5</v>
      </c>
      <c r="B2215" s="5" t="str">
        <f>HYPERLINK("http://www.broadinstitute.org/gsea/msigdb/cards/BIOCARTA_BIOPEPTIDES_PATHWAY.html","BIOCARTA_BIOPEPTIDES_PATHWAY")</f>
        <v>BIOCARTA_BIOPEPTIDES_PATHWAY</v>
      </c>
      <c r="C2215" s="4">
        <v>28</v>
      </c>
      <c r="D2215" s="3">
        <v>1.3026295000000001</v>
      </c>
      <c r="E2215" s="1">
        <v>0.114617944</v>
      </c>
      <c r="F2215" s="2">
        <v>0.19094079999999999</v>
      </c>
    </row>
    <row r="2216" spans="1:6" x14ac:dyDescent="0.25">
      <c r="A2216" t="s">
        <v>6</v>
      </c>
      <c r="B2216" s="5" t="str">
        <f>HYPERLINK("http://www.broadinstitute.org/gsea/msigdb/cards/GOBP_NEGATIVE_REGULATION_OF_SYNAPTIC_TRANSMISSION.html","GOBP_NEGATIVE_REGULATION_OF_SYNAPTIC_TRANSMISSION")</f>
        <v>GOBP_NEGATIVE_REGULATION_OF_SYNAPTIC_TRANSMISSION</v>
      </c>
      <c r="C2216" s="4">
        <v>73</v>
      </c>
      <c r="D2216" s="3">
        <v>1.3025494</v>
      </c>
      <c r="E2216" s="1">
        <v>8.8105719999999998E-2</v>
      </c>
      <c r="F2216" s="2">
        <v>0.19094071000000001</v>
      </c>
    </row>
    <row r="2217" spans="1:6" x14ac:dyDescent="0.25">
      <c r="A2217" t="s">
        <v>10</v>
      </c>
      <c r="B2217" s="5" t="str">
        <f>HYPERLINK("http://www.broadinstitute.org/gsea/msigdb/cards/REACTOME_EPH_EPHRIN_SIGNALING.html","REACTOME_EPH_EPHRIN_SIGNALING")</f>
        <v>REACTOME_EPH_EPHRIN_SIGNALING</v>
      </c>
      <c r="C2217" s="4">
        <v>64</v>
      </c>
      <c r="D2217" s="3">
        <v>1.3024956999999999</v>
      </c>
      <c r="E2217" s="1">
        <v>8.8059700000000005E-2</v>
      </c>
      <c r="F2217" s="2">
        <v>0.19091720000000001</v>
      </c>
    </row>
    <row r="2218" spans="1:6" x14ac:dyDescent="0.25">
      <c r="A2218" t="s">
        <v>6</v>
      </c>
      <c r="B2218" s="5" t="str">
        <f>HYPERLINK("http://www.broadinstitute.org/gsea/msigdb/cards/GOBP_EMBRYONIC_PLACENTA_DEVELOPMENT.html","GOBP_EMBRYONIC_PLACENTA_DEVELOPMENT")</f>
        <v>GOBP_EMBRYONIC_PLACENTA_DEVELOPMENT</v>
      </c>
      <c r="C2218" s="4">
        <v>110</v>
      </c>
      <c r="D2218" s="3">
        <v>1.3024538999999999</v>
      </c>
      <c r="E2218" s="1">
        <v>4.2360059999999998E-2</v>
      </c>
      <c r="F2218" s="2">
        <v>0.19088624000000001</v>
      </c>
    </row>
    <row r="2219" spans="1:6" x14ac:dyDescent="0.25">
      <c r="A2219" t="s">
        <v>8</v>
      </c>
      <c r="B2219" s="5" t="str">
        <f>HYPERLINK("http://www.broadinstitute.org/gsea/msigdb/cards/GOMF_BIOACTIVE_LIPID_RECEPTOR_ACTIVITY.html","GOMF_BIOACTIVE_LIPID_RECEPTOR_ACTIVITY")</f>
        <v>GOMF_BIOACTIVE_LIPID_RECEPTOR_ACTIVITY</v>
      </c>
      <c r="C2219" s="4">
        <v>15</v>
      </c>
      <c r="D2219" s="3">
        <v>1.3023465999999999</v>
      </c>
      <c r="E2219" s="1">
        <v>0.1491228</v>
      </c>
      <c r="F2219" s="2">
        <v>0.19092955</v>
      </c>
    </row>
    <row r="2220" spans="1:6" x14ac:dyDescent="0.25">
      <c r="A2220" t="s">
        <v>6</v>
      </c>
      <c r="B2220" s="5" t="str">
        <f>HYPERLINK("http://www.broadinstitute.org/gsea/msigdb/cards/GOBP_SULFUR_COMPOUND_CATABOLIC_PROCESS.html","GOBP_SULFUR_COMPOUND_CATABOLIC_PROCESS")</f>
        <v>GOBP_SULFUR_COMPOUND_CATABOLIC_PROCESS</v>
      </c>
      <c r="C2220" s="4">
        <v>32</v>
      </c>
      <c r="D2220" s="3">
        <v>1.3022933999999999</v>
      </c>
      <c r="E2220" s="1">
        <v>0.12436975</v>
      </c>
      <c r="F2220" s="2">
        <v>0.19090755000000001</v>
      </c>
    </row>
    <row r="2221" spans="1:6" x14ac:dyDescent="0.25">
      <c r="A2221" t="s">
        <v>6</v>
      </c>
      <c r="B2221" s="5" t="str">
        <f>HYPERLINK("http://www.broadinstitute.org/gsea/msigdb/cards/GOBP_NADP_METABOLIC_PROCESS.html","GOBP_NADP_METABOLIC_PROCESS")</f>
        <v>GOBP_NADP_METABOLIC_PROCESS</v>
      </c>
      <c r="C2221" s="4">
        <v>50</v>
      </c>
      <c r="D2221" s="3">
        <v>1.3022107000000001</v>
      </c>
      <c r="E2221" s="1">
        <v>0.108333334</v>
      </c>
      <c r="F2221" s="2">
        <v>0.19092786</v>
      </c>
    </row>
    <row r="2222" spans="1:6" x14ac:dyDescent="0.25">
      <c r="A2222" t="s">
        <v>8</v>
      </c>
      <c r="B2222" s="5" t="str">
        <f>HYPERLINK("http://www.broadinstitute.org/gsea/msigdb/cards/GOMF_LIPOPROTEIN_PARTICLE_RECEPTOR_BINDING.html","GOMF_LIPOPROTEIN_PARTICLE_RECEPTOR_BINDING")</f>
        <v>GOMF_LIPOPROTEIN_PARTICLE_RECEPTOR_BINDING</v>
      </c>
      <c r="C2222" s="4">
        <v>33</v>
      </c>
      <c r="D2222" s="3">
        <v>1.3022058000000001</v>
      </c>
      <c r="E2222" s="1">
        <v>0.10977702</v>
      </c>
      <c r="F2222" s="2">
        <v>0.19084915999999999</v>
      </c>
    </row>
    <row r="2223" spans="1:6" x14ac:dyDescent="0.25">
      <c r="A2223" t="s">
        <v>6</v>
      </c>
      <c r="B2223" s="5" t="str">
        <f>HYPERLINK("http://www.broadinstitute.org/gsea/msigdb/cards/GOBP_MAINTENANCE_OF_LOCATION_IN_CELL.html","GOBP_MAINTENANCE_OF_LOCATION_IN_CELL")</f>
        <v>GOBP_MAINTENANCE_OF_LOCATION_IN_CELL</v>
      </c>
      <c r="C2223" s="4">
        <v>230</v>
      </c>
      <c r="D2223" s="3">
        <v>1.301876</v>
      </c>
      <c r="E2223" s="1">
        <v>3.0855540000000001E-2</v>
      </c>
      <c r="F2223" s="2">
        <v>0.1911544</v>
      </c>
    </row>
    <row r="2224" spans="1:6" x14ac:dyDescent="0.25">
      <c r="A2224" t="s">
        <v>11</v>
      </c>
      <c r="B2224" s="5" t="str">
        <f>HYPERLINK("http://www.broadinstitute.org/gsea/msigdb/cards/WP_PURINE_METABOLISM.html","WP_PURINE_METABOLISM")</f>
        <v>WP_PURINE_METABOLISM</v>
      </c>
      <c r="C2224" s="4">
        <v>167</v>
      </c>
      <c r="D2224" s="3">
        <v>1.3016354999999999</v>
      </c>
      <c r="E2224" s="1">
        <v>4.5454546999999998E-2</v>
      </c>
      <c r="F2224" s="2">
        <v>0.19135675999999999</v>
      </c>
    </row>
    <row r="2225" spans="1:6" x14ac:dyDescent="0.25">
      <c r="A2225" t="s">
        <v>6</v>
      </c>
      <c r="B2225" s="5" t="str">
        <f>HYPERLINK("http://www.broadinstitute.org/gsea/msigdb/cards/GOBP_PYRIMIDINE_CONTAINING_COMPOUND_BIOSYNTHETIC_PROCESS.html","GOBP_PYRIMIDINE_CONTAINING_COMPOUND_BIOSYNTHETIC_PROCESS")</f>
        <v>GOBP_PYRIMIDINE_CONTAINING_COMPOUND_BIOSYNTHETIC_PROCESS</v>
      </c>
      <c r="C2225" s="4">
        <v>33</v>
      </c>
      <c r="D2225" s="3">
        <v>1.3015163000000001</v>
      </c>
      <c r="E2225" s="1">
        <v>0.112227805</v>
      </c>
      <c r="F2225" s="2">
        <v>0.19140467</v>
      </c>
    </row>
    <row r="2226" spans="1:6" x14ac:dyDescent="0.25">
      <c r="A2226" t="s">
        <v>10</v>
      </c>
      <c r="B2226" s="5" t="str">
        <f>HYPERLINK("http://www.broadinstitute.org/gsea/msigdb/cards/REACTOME_REGULATION_OF_TP53_DEGRADATION.html","REACTOME_REGULATION_OF_TP53_DEGRADATION")</f>
        <v>REACTOME_REGULATION_OF_TP53_DEGRADATION</v>
      </c>
      <c r="C2226" s="4">
        <v>35</v>
      </c>
      <c r="D2226" s="3">
        <v>1.3014984000000001</v>
      </c>
      <c r="E2226" s="1">
        <v>0.11093248</v>
      </c>
      <c r="F2226" s="2">
        <v>0.19134234999999999</v>
      </c>
    </row>
    <row r="2227" spans="1:6" x14ac:dyDescent="0.25">
      <c r="A2227" t="s">
        <v>6</v>
      </c>
      <c r="B2227" s="5" t="str">
        <f>HYPERLINK("http://www.broadinstitute.org/gsea/msigdb/cards/GOBP_AXON_REGENERATION.html","GOBP_AXON_REGENERATION")</f>
        <v>GOBP_AXON_REGENERATION</v>
      </c>
      <c r="C2227" s="4">
        <v>55</v>
      </c>
      <c r="D2227" s="3">
        <v>1.3014865</v>
      </c>
      <c r="E2227" s="1">
        <v>0.10310966000000001</v>
      </c>
      <c r="F2227" s="2">
        <v>0.19127140000000001</v>
      </c>
    </row>
    <row r="2228" spans="1:6" x14ac:dyDescent="0.25">
      <c r="A2228" t="s">
        <v>6</v>
      </c>
      <c r="B2228" s="5" t="str">
        <f>HYPERLINK("http://www.broadinstitute.org/gsea/msigdb/cards/GOBP_MODIFICATION_OF_SYNAPTIC_STRUCTURE.html","GOBP_MODIFICATION_OF_SYNAPTIC_STRUCTURE")</f>
        <v>GOBP_MODIFICATION_OF_SYNAPTIC_STRUCTURE</v>
      </c>
      <c r="C2228" s="4">
        <v>42</v>
      </c>
      <c r="D2228" s="3">
        <v>1.3014269999999999</v>
      </c>
      <c r="E2228" s="1">
        <v>0.11311475</v>
      </c>
      <c r="F2228" s="2">
        <v>0.19125645999999999</v>
      </c>
    </row>
    <row r="2229" spans="1:6" x14ac:dyDescent="0.25">
      <c r="A2229" t="s">
        <v>6</v>
      </c>
      <c r="B2229" s="5" t="str">
        <f>HYPERLINK("http://www.broadinstitute.org/gsea/msigdb/cards/GOBP_SODIUM_ION_HOMEOSTASIS.html","GOBP_SODIUM_ION_HOMEOSTASIS")</f>
        <v>GOBP_SODIUM_ION_HOMEOSTASIS</v>
      </c>
      <c r="C2229" s="4">
        <v>41</v>
      </c>
      <c r="D2229" s="3">
        <v>1.3009039</v>
      </c>
      <c r="E2229" s="1">
        <v>0.10172414</v>
      </c>
      <c r="F2229" s="2">
        <v>0.19178308999999999</v>
      </c>
    </row>
    <row r="2230" spans="1:6" x14ac:dyDescent="0.25">
      <c r="A2230" t="s">
        <v>11</v>
      </c>
      <c r="B2230" s="5" t="str">
        <f>HYPERLINK("http://www.broadinstitute.org/gsea/msigdb/cards/WP_SELENIUM_MICRONUTRIENT_NETWORK.html","WP_SELENIUM_MICRONUTRIENT_NETWORK")</f>
        <v>WP_SELENIUM_MICRONUTRIENT_NETWORK</v>
      </c>
      <c r="C2230" s="4">
        <v>19</v>
      </c>
      <c r="D2230" s="3">
        <v>1.3008995000000001</v>
      </c>
      <c r="E2230" s="1">
        <v>0.14593697999999999</v>
      </c>
      <c r="F2230" s="2">
        <v>0.19170229999999999</v>
      </c>
    </row>
    <row r="2231" spans="1:6" x14ac:dyDescent="0.25">
      <c r="A2231" t="s">
        <v>5</v>
      </c>
      <c r="B2231" s="5" t="str">
        <f>HYPERLINK("http://www.broadinstitute.org/gsea/msigdb/cards/BIOCARTA_TGFB_PATHWAY.html","BIOCARTA_TGFB_PATHWAY")</f>
        <v>BIOCARTA_TGFB_PATHWAY</v>
      </c>
      <c r="C2231" s="4">
        <v>17</v>
      </c>
      <c r="D2231" s="3">
        <v>1.3007599000000001</v>
      </c>
      <c r="E2231" s="1">
        <v>0.13333333999999999</v>
      </c>
      <c r="F2231" s="2">
        <v>0.19178073000000001</v>
      </c>
    </row>
    <row r="2232" spans="1:6" x14ac:dyDescent="0.25">
      <c r="A2232" t="s">
        <v>6</v>
      </c>
      <c r="B2232" s="5" t="str">
        <f>HYPERLINK("http://www.broadinstitute.org/gsea/msigdb/cards/GOBP_REGULATION_OF_ERBB_SIGNALING_PATHWAY.html","GOBP_REGULATION_OF_ERBB_SIGNALING_PATHWAY")</f>
        <v>GOBP_REGULATION_OF_ERBB_SIGNALING_PATHWAY</v>
      </c>
      <c r="C2232" s="4">
        <v>68</v>
      </c>
      <c r="D2232" s="3">
        <v>1.3000509</v>
      </c>
      <c r="E2232" s="1">
        <v>8.3993659999999998E-2</v>
      </c>
      <c r="F2232" s="2">
        <v>0.19254372</v>
      </c>
    </row>
    <row r="2233" spans="1:6" x14ac:dyDescent="0.25">
      <c r="A2233" t="s">
        <v>6</v>
      </c>
      <c r="B2233" s="5" t="str">
        <f>HYPERLINK("http://www.broadinstitute.org/gsea/msigdb/cards/GOBP_GASTRULATION.html","GOBP_GASTRULATION")</f>
        <v>GOBP_GASTRULATION</v>
      </c>
      <c r="C2233" s="4">
        <v>182</v>
      </c>
      <c r="D2233" s="3">
        <v>1.2993585999999999</v>
      </c>
      <c r="E2233" s="1">
        <v>4.8090525000000002E-2</v>
      </c>
      <c r="F2233" s="2">
        <v>0.19328716000000001</v>
      </c>
    </row>
    <row r="2234" spans="1:6" x14ac:dyDescent="0.25">
      <c r="A2234" t="s">
        <v>6</v>
      </c>
      <c r="B2234" s="5" t="str">
        <f>HYPERLINK("http://www.broadinstitute.org/gsea/msigdb/cards/GOBP_PEPTIDE_CATABOLIC_PROCESS.html","GOBP_PEPTIDE_CATABOLIC_PROCESS")</f>
        <v>GOBP_PEPTIDE_CATABOLIC_PROCESS</v>
      </c>
      <c r="C2234" s="4">
        <v>22</v>
      </c>
      <c r="D2234" s="3">
        <v>1.2991687000000001</v>
      </c>
      <c r="E2234" s="1">
        <v>0.13255032999999999</v>
      </c>
      <c r="F2234" s="2">
        <v>0.19340570000000001</v>
      </c>
    </row>
    <row r="2235" spans="1:6" x14ac:dyDescent="0.25">
      <c r="A2235" t="s">
        <v>6</v>
      </c>
      <c r="B2235" s="5" t="str">
        <f>HYPERLINK("http://www.broadinstitute.org/gsea/msigdb/cards/GOBP_ESTABLISHMENT_OF_PLANAR_POLARITY_OF_EMBRYONIC_EPITHELIUM.html","GOBP_ESTABLISHMENT_OF_PLANAR_POLARITY_OF_EMBRYONIC_EPITHELIUM")</f>
        <v>GOBP_ESTABLISHMENT_OF_PLANAR_POLARITY_OF_EMBRYONIC_EPITHELIUM</v>
      </c>
      <c r="C2235" s="4">
        <v>18</v>
      </c>
      <c r="D2235" s="3">
        <v>1.2990520000000001</v>
      </c>
      <c r="E2235" s="1">
        <v>0.13728814</v>
      </c>
      <c r="F2235" s="2">
        <v>0.19345991000000001</v>
      </c>
    </row>
    <row r="2236" spans="1:6" x14ac:dyDescent="0.25">
      <c r="A2236" t="s">
        <v>6</v>
      </c>
      <c r="B2236" s="5" t="str">
        <f>HYPERLINK("http://www.broadinstitute.org/gsea/msigdb/cards/GOBP_PHOSPHOLIPID_TRANSPORT.html","GOBP_PHOSPHOLIPID_TRANSPORT")</f>
        <v>GOBP_PHOSPHOLIPID_TRANSPORT</v>
      </c>
      <c r="C2236" s="4">
        <v>89</v>
      </c>
      <c r="D2236" s="3">
        <v>1.2987549</v>
      </c>
      <c r="E2236" s="1">
        <v>8.1967209999999999E-2</v>
      </c>
      <c r="F2236" s="2">
        <v>0.19374205</v>
      </c>
    </row>
    <row r="2237" spans="1:6" x14ac:dyDescent="0.25">
      <c r="A2237" t="s">
        <v>6</v>
      </c>
      <c r="B2237" s="5" t="str">
        <f>HYPERLINK("http://www.broadinstitute.org/gsea/msigdb/cards/GOBP_ALPHA_BETA_T_CELL_LINEAGE_COMMITMENT.html","GOBP_ALPHA_BETA_T_CELL_LINEAGE_COMMITMENT")</f>
        <v>GOBP_ALPHA_BETA_T_CELL_LINEAGE_COMMITMENT</v>
      </c>
      <c r="C2237" s="4">
        <v>22</v>
      </c>
      <c r="D2237" s="3">
        <v>1.2981658</v>
      </c>
      <c r="E2237" s="1">
        <v>0.14003294999999999</v>
      </c>
      <c r="F2237" s="2">
        <v>0.19435853</v>
      </c>
    </row>
    <row r="2238" spans="1:6" x14ac:dyDescent="0.25">
      <c r="A2238" t="s">
        <v>11</v>
      </c>
      <c r="B2238" s="5" t="str">
        <f>HYPERLINK("http://www.broadinstitute.org/gsea/msigdb/cards/WP_REGULATION_OF_ACTIN_CYTOSKELETON.html","WP_REGULATION_OF_ACTIN_CYTOSKELETON")</f>
        <v>WP_REGULATION_OF_ACTIN_CYTOSKELETON</v>
      </c>
      <c r="C2238" s="4">
        <v>148</v>
      </c>
      <c r="D2238" s="3">
        <v>1.298014</v>
      </c>
      <c r="E2238" s="1">
        <v>4.7756872999999998E-2</v>
      </c>
      <c r="F2238" s="2">
        <v>0.19446131999999999</v>
      </c>
    </row>
    <row r="2239" spans="1:6" x14ac:dyDescent="0.25">
      <c r="A2239" t="s">
        <v>6</v>
      </c>
      <c r="B2239" s="5" t="str">
        <f>HYPERLINK("http://www.broadinstitute.org/gsea/msigdb/cards/GOBP_AMINO_ACID_IMPORT_ACROSS_PLASMA_MEMBRANE.html","GOBP_AMINO_ACID_IMPORT_ACROSS_PLASMA_MEMBRANE")</f>
        <v>GOBP_AMINO_ACID_IMPORT_ACROSS_PLASMA_MEMBRANE</v>
      </c>
      <c r="C2239" s="4">
        <v>54</v>
      </c>
      <c r="D2239" s="3">
        <v>1.2979887000000001</v>
      </c>
      <c r="E2239" s="1">
        <v>8.3735909999999997E-2</v>
      </c>
      <c r="F2239" s="2">
        <v>0.19440244000000001</v>
      </c>
    </row>
    <row r="2240" spans="1:6" x14ac:dyDescent="0.25">
      <c r="A2240" t="s">
        <v>6</v>
      </c>
      <c r="B2240" s="5" t="str">
        <f>HYPERLINK("http://www.broadinstitute.org/gsea/msigdb/cards/GOBP_REGULATION_OF_CELL_JUNCTION_ASSEMBLY.html","GOBP_REGULATION_OF_CELL_JUNCTION_ASSEMBLY")</f>
        <v>GOBP_REGULATION_OF_CELL_JUNCTION_ASSEMBLY</v>
      </c>
      <c r="C2240" s="4">
        <v>244</v>
      </c>
      <c r="D2240" s="3">
        <v>1.2978940000000001</v>
      </c>
      <c r="E2240" s="1">
        <v>2.8688524E-2</v>
      </c>
      <c r="F2240" s="2">
        <v>0.19442356</v>
      </c>
    </row>
    <row r="2241" spans="1:6" x14ac:dyDescent="0.25">
      <c r="A2241" t="s">
        <v>6</v>
      </c>
      <c r="B2241" s="5" t="str">
        <f>HYPERLINK("http://www.broadinstitute.org/gsea/msigdb/cards/GOBP_RESPONSE_TO_ATP.html","GOBP_RESPONSE_TO_ATP")</f>
        <v>GOBP_RESPONSE_TO_ATP</v>
      </c>
      <c r="C2241" s="4">
        <v>31</v>
      </c>
      <c r="D2241" s="3">
        <v>1.2975490999999999</v>
      </c>
      <c r="E2241" s="1">
        <v>0.11467115999999999</v>
      </c>
      <c r="F2241" s="2">
        <v>0.19474246000000001</v>
      </c>
    </row>
    <row r="2242" spans="1:6" x14ac:dyDescent="0.25">
      <c r="A2242" t="s">
        <v>6</v>
      </c>
      <c r="B2242" s="5" t="str">
        <f>HYPERLINK("http://www.broadinstitute.org/gsea/msigdb/cards/GOBP_VENTRICULAR_CARDIAC_MUSCLE_CELL_ACTION_POTENTIAL.html","GOBP_VENTRICULAR_CARDIAC_MUSCLE_CELL_ACTION_POTENTIAL")</f>
        <v>GOBP_VENTRICULAR_CARDIAC_MUSCLE_CELL_ACTION_POTENTIAL</v>
      </c>
      <c r="C2242" s="4">
        <v>28</v>
      </c>
      <c r="D2242" s="3">
        <v>1.297536</v>
      </c>
      <c r="E2242" s="1">
        <v>0.118530884</v>
      </c>
      <c r="F2242" s="2">
        <v>0.19466950999999999</v>
      </c>
    </row>
    <row r="2243" spans="1:6" x14ac:dyDescent="0.25">
      <c r="A2243" t="s">
        <v>6</v>
      </c>
      <c r="B2243" s="5" t="str">
        <f>HYPERLINK("http://www.broadinstitute.org/gsea/msigdb/cards/GOBP_DECIDUALIZATION.html","GOBP_DECIDUALIZATION")</f>
        <v>GOBP_DECIDUALIZATION</v>
      </c>
      <c r="C2243" s="4">
        <v>24</v>
      </c>
      <c r="D2243" s="3">
        <v>1.2974695000000001</v>
      </c>
      <c r="E2243" s="1">
        <v>0.13242783999999999</v>
      </c>
      <c r="F2243" s="2">
        <v>0.19466585</v>
      </c>
    </row>
    <row r="2244" spans="1:6" x14ac:dyDescent="0.25">
      <c r="A2244" t="s">
        <v>8</v>
      </c>
      <c r="B2244" s="5" t="str">
        <f>HYPERLINK("http://www.broadinstitute.org/gsea/msigdb/cards/GOMF_HYDROLASE_ACTIVITY_ACTING_ON_CARBON_NITROGEN_BUT_NOT_PEPTIDE_BONDS.html","GOMF_HYDROLASE_ACTIVITY_ACTING_ON_CARBON_NITROGEN_BUT_NOT_PEPTIDE_BONDS")</f>
        <v>GOMF_HYDROLASE_ACTIVITY_ACTING_ON_CARBON_NITROGEN_BUT_NOT_PEPTIDE_BONDS</v>
      </c>
      <c r="C2244" s="4">
        <v>133</v>
      </c>
      <c r="D2244" s="3">
        <v>1.2973675</v>
      </c>
      <c r="E2244" s="1">
        <v>4.9786627E-2</v>
      </c>
      <c r="F2244" s="2">
        <v>0.19470651</v>
      </c>
    </row>
    <row r="2245" spans="1:6" x14ac:dyDescent="0.25">
      <c r="A2245" t="s">
        <v>6</v>
      </c>
      <c r="B2245" s="5" t="str">
        <f>HYPERLINK("http://www.broadinstitute.org/gsea/msigdb/cards/GOBP_NEGATIVE_REGULATION_OF_VOLTAGE_GATED_CALCIUM_CHANNEL_ACTIVITY.html","GOBP_NEGATIVE_REGULATION_OF_VOLTAGE_GATED_CALCIUM_CHANNEL_ACTIVITY")</f>
        <v>GOBP_NEGATIVE_REGULATION_OF_VOLTAGE_GATED_CALCIUM_CHANNEL_ACTIVITY</v>
      </c>
      <c r="C2245" s="4">
        <v>18</v>
      </c>
      <c r="D2245" s="3">
        <v>1.2972425000000001</v>
      </c>
      <c r="E2245" s="1">
        <v>0.15664845999999999</v>
      </c>
      <c r="F2245" s="2">
        <v>0.19476783</v>
      </c>
    </row>
    <row r="2246" spans="1:6" x14ac:dyDescent="0.25">
      <c r="A2246" t="s">
        <v>6</v>
      </c>
      <c r="B2246" s="5" t="str">
        <f>HYPERLINK("http://www.broadinstitute.org/gsea/msigdb/cards/GOBP_AMINO_ACID_TRANSPORT.html","GOBP_AMINO_ACID_TRANSPORT")</f>
        <v>GOBP_AMINO_ACID_TRANSPORT</v>
      </c>
      <c r="C2246" s="4">
        <v>165</v>
      </c>
      <c r="D2246" s="3">
        <v>1.2969227999999999</v>
      </c>
      <c r="E2246" s="1">
        <v>4.4412609999999998E-2</v>
      </c>
      <c r="F2246" s="2">
        <v>0.19506417000000001</v>
      </c>
    </row>
    <row r="2247" spans="1:6" x14ac:dyDescent="0.25">
      <c r="A2247" t="s">
        <v>7</v>
      </c>
      <c r="B2247" s="5" t="str">
        <f>HYPERLINK("http://www.broadinstitute.org/gsea/msigdb/cards/GOCC_ACTIN_FILAMENT_BUNDLE.html","GOCC_ACTIN_FILAMENT_BUNDLE")</f>
        <v>GOCC_ACTIN_FILAMENT_BUNDLE</v>
      </c>
      <c r="C2247" s="4">
        <v>97</v>
      </c>
      <c r="D2247" s="3">
        <v>1.2962731999999999</v>
      </c>
      <c r="E2247" s="1">
        <v>7.0796460000000005E-2</v>
      </c>
      <c r="F2247" s="2">
        <v>0.19577363</v>
      </c>
    </row>
    <row r="2248" spans="1:6" x14ac:dyDescent="0.25">
      <c r="A2248" t="s">
        <v>8</v>
      </c>
      <c r="B2248" s="5" t="str">
        <f>HYPERLINK("http://www.broadinstitute.org/gsea/msigdb/cards/GOMF_EXOPEPTIDASE_ACTIVITY.html","GOMF_EXOPEPTIDASE_ACTIVITY")</f>
        <v>GOMF_EXOPEPTIDASE_ACTIVITY</v>
      </c>
      <c r="C2248" s="4">
        <v>95</v>
      </c>
      <c r="D2248" s="3">
        <v>1.2959233999999999</v>
      </c>
      <c r="E2248" s="1">
        <v>7.2755420000000001E-2</v>
      </c>
      <c r="F2248" s="2">
        <v>0.19610214000000001</v>
      </c>
    </row>
    <row r="2249" spans="1:6" x14ac:dyDescent="0.25">
      <c r="A2249" t="s">
        <v>8</v>
      </c>
      <c r="B2249" s="5" t="str">
        <f>HYPERLINK("http://www.broadinstitute.org/gsea/msigdb/cards/GOMF_CALCIUM_DEPENDENT_PROTEIN_KINASE_ACTIVITY.html","GOMF_CALCIUM_DEPENDENT_PROTEIN_KINASE_ACTIVITY")</f>
        <v>GOMF_CALCIUM_DEPENDENT_PROTEIN_KINASE_ACTIVITY</v>
      </c>
      <c r="C2249" s="4">
        <v>24</v>
      </c>
      <c r="D2249" s="3">
        <v>1.2957604</v>
      </c>
      <c r="E2249" s="1">
        <v>0.14213197999999999</v>
      </c>
      <c r="F2249" s="2">
        <v>0.196213</v>
      </c>
    </row>
    <row r="2250" spans="1:6" x14ac:dyDescent="0.25">
      <c r="A2250" t="s">
        <v>6</v>
      </c>
      <c r="B2250" s="5" t="str">
        <f>HYPERLINK("http://www.broadinstitute.org/gsea/msigdb/cards/GOBP_ERBB2_SIGNALING_PATHWAY.html","GOBP_ERBB2_SIGNALING_PATHWAY")</f>
        <v>GOBP_ERBB2_SIGNALING_PATHWAY</v>
      </c>
      <c r="C2250" s="4">
        <v>23</v>
      </c>
      <c r="D2250" s="3">
        <v>1.2953973999999999</v>
      </c>
      <c r="E2250" s="1">
        <v>0.13157895</v>
      </c>
      <c r="F2250" s="2">
        <v>0.19658406</v>
      </c>
    </row>
    <row r="2251" spans="1:6" x14ac:dyDescent="0.25">
      <c r="A2251" t="s">
        <v>6</v>
      </c>
      <c r="B2251" s="5" t="str">
        <f>HYPERLINK("http://www.broadinstitute.org/gsea/msigdb/cards/GOBP_LATE_ENDOSOME_TO_LYSOSOME_TRANSPORT.html","GOBP_LATE_ENDOSOME_TO_LYSOSOME_TRANSPORT")</f>
        <v>GOBP_LATE_ENDOSOME_TO_LYSOSOME_TRANSPORT</v>
      </c>
      <c r="C2251" s="4">
        <v>19</v>
      </c>
      <c r="D2251" s="3">
        <v>1.295339</v>
      </c>
      <c r="E2251" s="1">
        <v>0.15625</v>
      </c>
      <c r="F2251" s="2">
        <v>0.19656370000000001</v>
      </c>
    </row>
    <row r="2252" spans="1:6" x14ac:dyDescent="0.25">
      <c r="A2252" t="s">
        <v>10</v>
      </c>
      <c r="B2252" s="5" t="str">
        <f>HYPERLINK("http://www.broadinstitute.org/gsea/msigdb/cards/REACTOME_LYSOSOME_VESICLE_BIOGENESIS.html","REACTOME_LYSOSOME_VESICLE_BIOGENESIS")</f>
        <v>REACTOME_LYSOSOME_VESICLE_BIOGENESIS</v>
      </c>
      <c r="C2252" s="4">
        <v>34</v>
      </c>
      <c r="D2252" s="3">
        <v>1.2950469</v>
      </c>
      <c r="E2252" s="1">
        <v>0.12522359999999999</v>
      </c>
      <c r="F2252" s="2">
        <v>0.19683740999999999</v>
      </c>
    </row>
    <row r="2253" spans="1:6" x14ac:dyDescent="0.25">
      <c r="A2253" t="s">
        <v>6</v>
      </c>
      <c r="B2253" s="5" t="str">
        <f>HYPERLINK("http://www.broadinstitute.org/gsea/msigdb/cards/GOBP_ARTERY_MORPHOGENESIS.html","GOBP_ARTERY_MORPHOGENESIS")</f>
        <v>GOBP_ARTERY_MORPHOGENESIS</v>
      </c>
      <c r="C2253" s="4">
        <v>81</v>
      </c>
      <c r="D2253" s="3">
        <v>1.2949834</v>
      </c>
      <c r="E2253" s="1">
        <v>8.1818180000000004E-2</v>
      </c>
      <c r="F2253" s="2">
        <v>0.19682606</v>
      </c>
    </row>
    <row r="2254" spans="1:6" x14ac:dyDescent="0.25">
      <c r="A2254" t="s">
        <v>7</v>
      </c>
      <c r="B2254" s="5" t="str">
        <f>HYPERLINK("http://www.broadinstitute.org/gsea/msigdb/cards/GOCC_NUCLEAR_OUTER_MEMBRANE.html","GOCC_NUCLEAR_OUTER_MEMBRANE")</f>
        <v>GOCC_NUCLEAR_OUTER_MEMBRANE</v>
      </c>
      <c r="C2254" s="4">
        <v>23</v>
      </c>
      <c r="D2254" s="3">
        <v>1.2946883</v>
      </c>
      <c r="E2254" s="1">
        <v>0.13230239999999999</v>
      </c>
      <c r="F2254" s="2">
        <v>0.19709502000000001</v>
      </c>
    </row>
    <row r="2255" spans="1:6" x14ac:dyDescent="0.25">
      <c r="A2255" t="s">
        <v>6</v>
      </c>
      <c r="B2255" s="5" t="str">
        <f>HYPERLINK("http://www.broadinstitute.org/gsea/msigdb/cards/GOBP_REGULATION_OF_CELL_MORPHOGENESIS.html","GOBP_REGULATION_OF_CELL_MORPHOGENESIS")</f>
        <v>GOBP_REGULATION_OF_CELL_MORPHOGENESIS</v>
      </c>
      <c r="C2255" s="4">
        <v>271</v>
      </c>
      <c r="D2255" s="3">
        <v>1.2946317000000001</v>
      </c>
      <c r="E2255" s="1">
        <v>2.4291499000000001E-2</v>
      </c>
      <c r="F2255" s="2">
        <v>0.19707917999999999</v>
      </c>
    </row>
    <row r="2256" spans="1:6" x14ac:dyDescent="0.25">
      <c r="A2256" t="s">
        <v>10</v>
      </c>
      <c r="B2256" s="5" t="str">
        <f>HYPERLINK("http://www.broadinstitute.org/gsea/msigdb/cards/REACTOME_GLYCOLYSIS.html","REACTOME_GLYCOLYSIS")</f>
        <v>REACTOME_GLYCOLYSIS</v>
      </c>
      <c r="C2256" s="4">
        <v>62</v>
      </c>
      <c r="D2256" s="3">
        <v>1.2945579</v>
      </c>
      <c r="E2256" s="1">
        <v>9.3397744000000005E-2</v>
      </c>
      <c r="F2256" s="2">
        <v>0.19708543000000001</v>
      </c>
    </row>
    <row r="2257" spans="1:6" x14ac:dyDescent="0.25">
      <c r="A2257" t="s">
        <v>6</v>
      </c>
      <c r="B2257" s="5" t="str">
        <f>HYPERLINK("http://www.broadinstitute.org/gsea/msigdb/cards/GOBP_NEGATIVE_REGULATION_OF_RHO_PROTEIN_SIGNAL_TRANSDUCTION.html","GOBP_NEGATIVE_REGULATION_OF_RHO_PROTEIN_SIGNAL_TRANSDUCTION")</f>
        <v>GOBP_NEGATIVE_REGULATION_OF_RHO_PROTEIN_SIGNAL_TRANSDUCTION</v>
      </c>
      <c r="C2257" s="4">
        <v>25</v>
      </c>
      <c r="D2257" s="3">
        <v>1.2940522000000001</v>
      </c>
      <c r="E2257" s="1">
        <v>0.13728814</v>
      </c>
      <c r="F2257" s="2">
        <v>0.19757620000000001</v>
      </c>
    </row>
    <row r="2258" spans="1:6" x14ac:dyDescent="0.25">
      <c r="A2258" t="s">
        <v>6</v>
      </c>
      <c r="B2258" s="5" t="str">
        <f>HYPERLINK("http://www.broadinstitute.org/gsea/msigdb/cards/GOBP_POSITIVE_REGULATION_OF_LIPID_STORAGE.html","GOBP_POSITIVE_REGULATION_OF_LIPID_STORAGE")</f>
        <v>GOBP_POSITIVE_REGULATION_OF_LIPID_STORAGE</v>
      </c>
      <c r="C2258" s="4">
        <v>25</v>
      </c>
      <c r="D2258" s="3">
        <v>1.2935026000000001</v>
      </c>
      <c r="E2258" s="1">
        <v>0.12191104</v>
      </c>
      <c r="F2258" s="2">
        <v>0.19814256999999999</v>
      </c>
    </row>
    <row r="2259" spans="1:6" x14ac:dyDescent="0.25">
      <c r="A2259" t="s">
        <v>6</v>
      </c>
      <c r="B2259" s="5" t="str">
        <f>HYPERLINK("http://www.broadinstitute.org/gsea/msigdb/cards/GOBP_NEGATIVE_REGULATION_OF_SUPRAMOLECULAR_FIBER_ORGANIZATION.html","GOBP_NEGATIVE_REGULATION_OF_SUPRAMOLECULAR_FIBER_ORGANIZATION")</f>
        <v>GOBP_NEGATIVE_REGULATION_OF_SUPRAMOLECULAR_FIBER_ORGANIZATION</v>
      </c>
      <c r="C2259" s="4">
        <v>178</v>
      </c>
      <c r="D2259" s="3">
        <v>1.293463</v>
      </c>
      <c r="E2259" s="1">
        <v>3.2640950000000002E-2</v>
      </c>
      <c r="F2259" s="2">
        <v>0.19809945000000001</v>
      </c>
    </row>
    <row r="2260" spans="1:6" x14ac:dyDescent="0.25">
      <c r="A2260" t="s">
        <v>6</v>
      </c>
      <c r="B2260" s="5" t="str">
        <f>HYPERLINK("http://www.broadinstitute.org/gsea/msigdb/cards/GOBP_NEUROMUSCULAR_PROCESS_CONTROLLING_BALANCE.html","GOBP_NEUROMUSCULAR_PROCESS_CONTROLLING_BALANCE")</f>
        <v>GOBP_NEUROMUSCULAR_PROCESS_CONTROLLING_BALANCE</v>
      </c>
      <c r="C2260" s="4">
        <v>70</v>
      </c>
      <c r="D2260" s="3">
        <v>1.2931211</v>
      </c>
      <c r="E2260" s="1">
        <v>9.0322583999999997E-2</v>
      </c>
      <c r="F2260" s="2">
        <v>0.19843172000000001</v>
      </c>
    </row>
    <row r="2261" spans="1:6" x14ac:dyDescent="0.25">
      <c r="A2261" t="s">
        <v>8</v>
      </c>
      <c r="B2261" s="5" t="str">
        <f>HYPERLINK("http://www.broadinstitute.org/gsea/msigdb/cards/GOMF_ORGANIC_HYDROXY_COMPOUND_TRANSMEMBRANE_TRANSPORTER_ACTIVITY.html","GOMF_ORGANIC_HYDROXY_COMPOUND_TRANSMEMBRANE_TRANSPORTER_ACTIVITY")</f>
        <v>GOMF_ORGANIC_HYDROXY_COMPOUND_TRANSMEMBRANE_TRANSPORTER_ACTIVITY</v>
      </c>
      <c r="C2261" s="4">
        <v>49</v>
      </c>
      <c r="D2261" s="3">
        <v>1.2926462000000001</v>
      </c>
      <c r="E2261" s="1">
        <v>0.11285265999999999</v>
      </c>
      <c r="F2261" s="2">
        <v>0.19891110000000001</v>
      </c>
    </row>
    <row r="2262" spans="1:6" x14ac:dyDescent="0.25">
      <c r="A2262" t="s">
        <v>6</v>
      </c>
      <c r="B2262" s="5" t="str">
        <f>HYPERLINK("http://www.broadinstitute.org/gsea/msigdb/cards/GOBP_NEGATIVE_REGULATION_OF_EPITHELIAL_TO_MESENCHYMAL_TRANSITION.html","GOBP_NEGATIVE_REGULATION_OF_EPITHELIAL_TO_MESENCHYMAL_TRANSITION")</f>
        <v>GOBP_NEGATIVE_REGULATION_OF_EPITHELIAL_TO_MESENCHYMAL_TRANSITION</v>
      </c>
      <c r="C2262" s="4">
        <v>36</v>
      </c>
      <c r="D2262" s="3">
        <v>1.2925930000000001</v>
      </c>
      <c r="E2262" s="1">
        <v>0.14238951999999999</v>
      </c>
      <c r="F2262" s="2">
        <v>0.19888726000000001</v>
      </c>
    </row>
    <row r="2263" spans="1:6" x14ac:dyDescent="0.25">
      <c r="A2263" t="s">
        <v>6</v>
      </c>
      <c r="B2263" s="5" t="str">
        <f>HYPERLINK("http://www.broadinstitute.org/gsea/msigdb/cards/GOBP_VIRAL_BUDDING.html","GOBP_VIRAL_BUDDING")</f>
        <v>GOBP_VIRAL_BUDDING</v>
      </c>
      <c r="C2263" s="4">
        <v>18</v>
      </c>
      <c r="D2263" s="3">
        <v>1.2922072</v>
      </c>
      <c r="E2263" s="1">
        <v>0.14920070999999999</v>
      </c>
      <c r="F2263" s="2">
        <v>0.19926599</v>
      </c>
    </row>
    <row r="2264" spans="1:6" x14ac:dyDescent="0.25">
      <c r="A2264" t="s">
        <v>6</v>
      </c>
      <c r="B2264" s="5" t="str">
        <f>HYPERLINK("http://www.broadinstitute.org/gsea/msigdb/cards/GOBP_POSITIVE_REGULATION_OF_CALCINEURIN_MEDIATED_SIGNALING.html","GOBP_POSITIVE_REGULATION_OF_CALCINEURIN_MEDIATED_SIGNALING")</f>
        <v>GOBP_POSITIVE_REGULATION_OF_CALCINEURIN_MEDIATED_SIGNALING</v>
      </c>
      <c r="C2264" s="4">
        <v>20</v>
      </c>
      <c r="D2264" s="3">
        <v>1.2920632000000001</v>
      </c>
      <c r="E2264" s="1">
        <v>0.16034482</v>
      </c>
      <c r="F2264" s="2">
        <v>0.19934794</v>
      </c>
    </row>
    <row r="2265" spans="1:6" x14ac:dyDescent="0.25">
      <c r="A2265" t="s">
        <v>6</v>
      </c>
      <c r="B2265" s="5" t="str">
        <f>HYPERLINK("http://www.broadinstitute.org/gsea/msigdb/cards/GOBP_CYCLIC_NUCLEOTIDE_METABOLIC_PROCESS.html","GOBP_CYCLIC_NUCLEOTIDE_METABOLIC_PROCESS")</f>
        <v>GOBP_CYCLIC_NUCLEOTIDE_METABOLIC_PROCESS</v>
      </c>
      <c r="C2265" s="4">
        <v>33</v>
      </c>
      <c r="D2265" s="3">
        <v>1.2920296</v>
      </c>
      <c r="E2265" s="1">
        <v>0.12794612</v>
      </c>
      <c r="F2265" s="2">
        <v>0.19930539999999999</v>
      </c>
    </row>
    <row r="2266" spans="1:6" x14ac:dyDescent="0.25">
      <c r="A2266" t="s">
        <v>6</v>
      </c>
      <c r="B2266" s="5" t="str">
        <f>HYPERLINK("http://www.broadinstitute.org/gsea/msigdb/cards/GOBP_ENDOCYTIC_RECYCLING.html","GOBP_ENDOCYTIC_RECYCLING")</f>
        <v>GOBP_ENDOCYTIC_RECYCLING</v>
      </c>
      <c r="C2266" s="4">
        <v>88</v>
      </c>
      <c r="D2266" s="3">
        <v>1.2918322</v>
      </c>
      <c r="E2266" s="1">
        <v>7.6562500000000006E-2</v>
      </c>
      <c r="F2266" s="2">
        <v>0.19947237000000001</v>
      </c>
    </row>
    <row r="2267" spans="1:6" x14ac:dyDescent="0.25">
      <c r="A2267" t="s">
        <v>10</v>
      </c>
      <c r="B2267" s="5" t="str">
        <f>HYPERLINK("http://www.broadinstitute.org/gsea/msigdb/cards/REACTOME_TRP_CHANNELS.html","REACTOME_TRP_CHANNELS")</f>
        <v>REACTOME_TRP_CHANNELS</v>
      </c>
      <c r="C2267" s="4">
        <v>25</v>
      </c>
      <c r="D2267" s="3">
        <v>1.2916202999999999</v>
      </c>
      <c r="E2267" s="1">
        <v>0.12418301</v>
      </c>
      <c r="F2267" s="2">
        <v>0.19965076000000001</v>
      </c>
    </row>
    <row r="2268" spans="1:6" x14ac:dyDescent="0.25">
      <c r="A2268" t="s">
        <v>6</v>
      </c>
      <c r="B2268" s="5" t="str">
        <f>HYPERLINK("http://www.broadinstitute.org/gsea/msigdb/cards/GOBP_RETROTRANSPOSON_SILENCING_BY_HETEROCHROMATIN_FORMATION.html","GOBP_RETROTRANSPOSON_SILENCING_BY_HETEROCHROMATIN_FORMATION")</f>
        <v>GOBP_RETROTRANSPOSON_SILENCING_BY_HETEROCHROMATIN_FORMATION</v>
      </c>
      <c r="C2268" s="4">
        <v>15</v>
      </c>
      <c r="D2268" s="3">
        <v>1.2914683</v>
      </c>
      <c r="E2268" s="1">
        <v>0.16216215</v>
      </c>
      <c r="F2268" s="2">
        <v>0.19974190999999999</v>
      </c>
    </row>
    <row r="2269" spans="1:6" x14ac:dyDescent="0.25">
      <c r="A2269" t="s">
        <v>6</v>
      </c>
      <c r="B2269" s="5" t="str">
        <f>HYPERLINK("http://www.broadinstitute.org/gsea/msigdb/cards/GOBP_NEGATIVE_REGULATION_OF_PROTEIN_CONTAINING_COMPLEX_ASSEMBLY.html","GOBP_NEGATIVE_REGULATION_OF_PROTEIN_CONTAINING_COMPLEX_ASSEMBLY")</f>
        <v>GOBP_NEGATIVE_REGULATION_OF_PROTEIN_CONTAINING_COMPLEX_ASSEMBLY</v>
      </c>
      <c r="C2269" s="4">
        <v>156</v>
      </c>
      <c r="D2269" s="3">
        <v>1.2912344</v>
      </c>
      <c r="E2269" s="1">
        <v>4.7550431999999997E-2</v>
      </c>
      <c r="F2269" s="2">
        <v>0.19993474</v>
      </c>
    </row>
    <row r="2270" spans="1:6" x14ac:dyDescent="0.25">
      <c r="A2270" t="s">
        <v>6</v>
      </c>
      <c r="B2270" s="5" t="str">
        <f>HYPERLINK("http://www.broadinstitute.org/gsea/msigdb/cards/GOBP_MIRNA_TRANSCRIPTION.html","GOBP_MIRNA_TRANSCRIPTION")</f>
        <v>GOBP_MIRNA_TRANSCRIPTION</v>
      </c>
      <c r="C2270" s="4">
        <v>73</v>
      </c>
      <c r="D2270" s="3">
        <v>1.2911558000000001</v>
      </c>
      <c r="E2270" s="1">
        <v>8.7025315000000006E-2</v>
      </c>
      <c r="F2270" s="2">
        <v>0.1999377</v>
      </c>
    </row>
    <row r="2271" spans="1:6" x14ac:dyDescent="0.25">
      <c r="A2271" t="s">
        <v>6</v>
      </c>
      <c r="B2271" s="5" t="str">
        <f>HYPERLINK("http://www.broadinstitute.org/gsea/msigdb/cards/GOBP_REGULATION_OF_ENDOPLASMIC_RETICULUM_UNFOLDED_PROTEIN_RESPONSE.html","GOBP_REGULATION_OF_ENDOPLASMIC_RETICULUM_UNFOLDED_PROTEIN_RESPONSE")</f>
        <v>GOBP_REGULATION_OF_ENDOPLASMIC_RETICULUM_UNFOLDED_PROTEIN_RESPONSE</v>
      </c>
      <c r="C2271" s="4">
        <v>23</v>
      </c>
      <c r="D2271" s="3">
        <v>1.2911452000000001</v>
      </c>
      <c r="E2271" s="1">
        <v>0.15245901000000001</v>
      </c>
      <c r="F2271" s="2">
        <v>0.19986055999999999</v>
      </c>
    </row>
    <row r="2272" spans="1:6" x14ac:dyDescent="0.25">
      <c r="A2272" t="s">
        <v>6</v>
      </c>
      <c r="B2272" s="5" t="str">
        <f>HYPERLINK("http://www.broadinstitute.org/gsea/msigdb/cards/GOBP_REGULATION_OF_MONOCYTE_DIFFERENTIATION.html","GOBP_REGULATION_OF_MONOCYTE_DIFFERENTIATION")</f>
        <v>GOBP_REGULATION_OF_MONOCYTE_DIFFERENTIATION</v>
      </c>
      <c r="C2272" s="4">
        <v>17</v>
      </c>
      <c r="D2272" s="3">
        <v>1.2911178999999999</v>
      </c>
      <c r="E2272" s="1">
        <v>0.15304348000000001</v>
      </c>
      <c r="F2272" s="2">
        <v>0.19980632000000001</v>
      </c>
    </row>
    <row r="2273" spans="1:6" x14ac:dyDescent="0.25">
      <c r="A2273" t="s">
        <v>6</v>
      </c>
      <c r="B2273" s="5" t="str">
        <f>HYPERLINK("http://www.broadinstitute.org/gsea/msigdb/cards/GOBP_MORPHOGENESIS_OF_AN_EPITHELIAL_SHEET.html","GOBP_MORPHOGENESIS_OF_AN_EPITHELIAL_SHEET")</f>
        <v>GOBP_MORPHOGENESIS_OF_AN_EPITHELIAL_SHEET</v>
      </c>
      <c r="C2273" s="4">
        <v>62</v>
      </c>
      <c r="D2273" s="3">
        <v>1.2906967</v>
      </c>
      <c r="E2273" s="1">
        <v>9.0909089999999998E-2</v>
      </c>
      <c r="F2273" s="2">
        <v>0.20024728999999999</v>
      </c>
    </row>
    <row r="2274" spans="1:6" x14ac:dyDescent="0.25">
      <c r="A2274" t="s">
        <v>6</v>
      </c>
      <c r="B2274" s="5" t="str">
        <f>HYPERLINK("http://www.broadinstitute.org/gsea/msigdb/cards/GOBP_VENOUS_BLOOD_VESSEL_DEVELOPMENT.html","GOBP_VENOUS_BLOOD_VESSEL_DEVELOPMENT")</f>
        <v>GOBP_VENOUS_BLOOD_VESSEL_DEVELOPMENT</v>
      </c>
      <c r="C2274" s="4">
        <v>18</v>
      </c>
      <c r="D2274" s="3">
        <v>1.2906696</v>
      </c>
      <c r="E2274" s="1">
        <v>0.14532871999999999</v>
      </c>
      <c r="F2274" s="2">
        <v>0.20019870000000001</v>
      </c>
    </row>
    <row r="2275" spans="1:6" x14ac:dyDescent="0.25">
      <c r="A2275" t="s">
        <v>10</v>
      </c>
      <c r="B2275" s="5" t="str">
        <f>HYPERLINK("http://www.broadinstitute.org/gsea/msigdb/cards/REACTOME_SYNTHESIS_OF_PIPS_AT_THE_EARLY_ENDOSOME_MEMBRANE.html","REACTOME_SYNTHESIS_OF_PIPS_AT_THE_EARLY_ENDOSOME_MEMBRANE")</f>
        <v>REACTOME_SYNTHESIS_OF_PIPS_AT_THE_EARLY_ENDOSOME_MEMBRANE</v>
      </c>
      <c r="C2275" s="4">
        <v>15</v>
      </c>
      <c r="D2275" s="3">
        <v>1.2905770000000001</v>
      </c>
      <c r="E2275" s="1">
        <v>0.14542189999999999</v>
      </c>
      <c r="F2275" s="2">
        <v>0.20024032999999999</v>
      </c>
    </row>
    <row r="2276" spans="1:6" x14ac:dyDescent="0.25">
      <c r="A2276" t="s">
        <v>6</v>
      </c>
      <c r="B2276" s="5" t="str">
        <f>HYPERLINK("http://www.broadinstitute.org/gsea/msigdb/cards/GOBP_NEGATIVE_REGULATION_OF_BMP_SIGNALING_PATHWAY.html","GOBP_NEGATIVE_REGULATION_OF_BMP_SIGNALING_PATHWAY")</f>
        <v>GOBP_NEGATIVE_REGULATION_OF_BMP_SIGNALING_PATHWAY</v>
      </c>
      <c r="C2276" s="4">
        <v>58</v>
      </c>
      <c r="D2276" s="3">
        <v>1.2903031</v>
      </c>
      <c r="E2276" s="1">
        <v>0.100328945</v>
      </c>
      <c r="F2276" s="2">
        <v>0.20049241000000001</v>
      </c>
    </row>
    <row r="2277" spans="1:6" x14ac:dyDescent="0.25">
      <c r="A2277" t="s">
        <v>6</v>
      </c>
      <c r="B2277" s="5" t="str">
        <f>HYPERLINK("http://www.broadinstitute.org/gsea/msigdb/cards/GOBP_REGULATION_OF_PROTEIN_CATABOLIC_PROCESS.html","GOBP_REGULATION_OF_PROTEIN_CATABOLIC_PROCESS")</f>
        <v>GOBP_REGULATION_OF_PROTEIN_CATABOLIC_PROCESS</v>
      </c>
      <c r="C2277" s="4">
        <v>359</v>
      </c>
      <c r="D2277" s="3">
        <v>1.2902445</v>
      </c>
      <c r="E2277" s="1">
        <v>1.7015707000000001E-2</v>
      </c>
      <c r="F2277" s="2">
        <v>0.20048337999999999</v>
      </c>
    </row>
    <row r="2278" spans="1:6" x14ac:dyDescent="0.25">
      <c r="A2278" t="s">
        <v>6</v>
      </c>
      <c r="B2278" s="5" t="str">
        <f>HYPERLINK("http://www.broadinstitute.org/gsea/msigdb/cards/GOBP_VENTRICULAR_TRABECULA_MYOCARDIUM_MORPHOGENESIS.html","GOBP_VENTRICULAR_TRABECULA_MYOCARDIUM_MORPHOGENESIS")</f>
        <v>GOBP_VENTRICULAR_TRABECULA_MYOCARDIUM_MORPHOGENESIS</v>
      </c>
      <c r="C2278" s="4">
        <v>16</v>
      </c>
      <c r="D2278" s="3">
        <v>1.2900312</v>
      </c>
      <c r="E2278" s="1">
        <v>0.15966387000000001</v>
      </c>
      <c r="F2278" s="2">
        <v>0.20065711</v>
      </c>
    </row>
    <row r="2279" spans="1:6" x14ac:dyDescent="0.25">
      <c r="A2279" t="s">
        <v>6</v>
      </c>
      <c r="B2279" s="5" t="str">
        <f>HYPERLINK("http://www.broadinstitute.org/gsea/msigdb/cards/GOBP_RAC_PROTEIN_SIGNAL_TRANSDUCTION.html","GOBP_RAC_PROTEIN_SIGNAL_TRANSDUCTION")</f>
        <v>GOBP_RAC_PROTEIN_SIGNAL_TRANSDUCTION</v>
      </c>
      <c r="C2279" s="4">
        <v>51</v>
      </c>
      <c r="D2279" s="3">
        <v>1.2899185</v>
      </c>
      <c r="E2279" s="1">
        <v>0.10603588999999999</v>
      </c>
      <c r="F2279" s="2">
        <v>0.20071368000000001</v>
      </c>
    </row>
    <row r="2280" spans="1:6" x14ac:dyDescent="0.25">
      <c r="A2280" t="s">
        <v>6</v>
      </c>
      <c r="B2280" s="5" t="str">
        <f>HYPERLINK("http://www.broadinstitute.org/gsea/msigdb/cards/GOBP_NODAL_SIGNALING_PATHWAY.html","GOBP_NODAL_SIGNALING_PATHWAY")</f>
        <v>GOBP_NODAL_SIGNALING_PATHWAY</v>
      </c>
      <c r="C2280" s="4">
        <v>17</v>
      </c>
      <c r="D2280" s="3">
        <v>1.2898356</v>
      </c>
      <c r="E2280" s="1">
        <v>0.14669051999999999</v>
      </c>
      <c r="F2280" s="2">
        <v>0.20073584</v>
      </c>
    </row>
    <row r="2281" spans="1:6" x14ac:dyDescent="0.25">
      <c r="A2281" t="s">
        <v>6</v>
      </c>
      <c r="B2281" s="5" t="str">
        <f>HYPERLINK("http://www.broadinstitute.org/gsea/msigdb/cards/GOBP_EXTRACELLULAR_VESICLE_BIOGENESIS.html","GOBP_EXTRACELLULAR_VESICLE_BIOGENESIS")</f>
        <v>GOBP_EXTRACELLULAR_VESICLE_BIOGENESIS</v>
      </c>
      <c r="C2281" s="4">
        <v>24</v>
      </c>
      <c r="D2281" s="3">
        <v>1.2898215</v>
      </c>
      <c r="E2281" s="1">
        <v>0.13292117000000001</v>
      </c>
      <c r="F2281" s="2">
        <v>0.20066339999999999</v>
      </c>
    </row>
    <row r="2282" spans="1:6" x14ac:dyDescent="0.25">
      <c r="A2282" t="s">
        <v>6</v>
      </c>
      <c r="B2282" s="5" t="str">
        <f>HYPERLINK("http://www.broadinstitute.org/gsea/msigdb/cards/GOBP_REGULATION_OF_EXOSOMAL_SECRETION.html","GOBP_REGULATION_OF_EXOSOMAL_SECRETION")</f>
        <v>GOBP_REGULATION_OF_EXOSOMAL_SECRETION</v>
      </c>
      <c r="C2282" s="4">
        <v>17</v>
      </c>
      <c r="D2282" s="3">
        <v>1.2898016999999999</v>
      </c>
      <c r="E2282" s="1">
        <v>0.14695340000000001</v>
      </c>
      <c r="F2282" s="2">
        <v>0.200601</v>
      </c>
    </row>
    <row r="2283" spans="1:6" x14ac:dyDescent="0.25">
      <c r="A2283" t="s">
        <v>6</v>
      </c>
      <c r="B2283" s="5" t="str">
        <f>HYPERLINK("http://www.broadinstitute.org/gsea/msigdb/cards/GOBP_REGULATION_OF_BMP_SIGNALING_PATHWAY.html","GOBP_REGULATION_OF_BMP_SIGNALING_PATHWAY")</f>
        <v>GOBP_REGULATION_OF_BMP_SIGNALING_PATHWAY</v>
      </c>
      <c r="C2283" s="4">
        <v>106</v>
      </c>
      <c r="D2283" s="3">
        <v>1.2895464000000001</v>
      </c>
      <c r="E2283" s="1">
        <v>8.1942335000000005E-2</v>
      </c>
      <c r="F2283" s="2">
        <v>0.20083229</v>
      </c>
    </row>
    <row r="2284" spans="1:6" x14ac:dyDescent="0.25">
      <c r="A2284" t="s">
        <v>8</v>
      </c>
      <c r="B2284" s="5" t="str">
        <f>HYPERLINK("http://www.broadinstitute.org/gsea/msigdb/cards/GOMF_OXIDOREDUCTASE_ACTIVITY_ACTING_ON_THE_ALDEHYDE_OR_OXO_GROUP_OF_DONORS_NAD_OR_NADP_AS_ACCEPTOR.html","GOMF_OXIDOREDUCTASE_ACTIVITY_ACTING_ON_THE_ALDEHYDE_OR_OXO_GROUP_OF_DONORS_NAD_OR_NADP_AS_ACCEPTOR")</f>
        <v>GOMF_OXIDOREDUCTASE_ACTIVITY_ACTING_ON_THE_ALDEHYDE_OR_OXO_GROUP_OF_DONORS_NAD_OR_NADP_AS_ACCEPTOR</v>
      </c>
      <c r="C2284" s="4">
        <v>52</v>
      </c>
      <c r="D2284" s="3">
        <v>1.2894330000000001</v>
      </c>
      <c r="E2284" s="1">
        <v>0.12130637499999999</v>
      </c>
      <c r="F2284" s="2">
        <v>0.20088679000000001</v>
      </c>
    </row>
    <row r="2285" spans="1:6" x14ac:dyDescent="0.25">
      <c r="A2285" t="s">
        <v>6</v>
      </c>
      <c r="B2285" s="5" t="str">
        <f>HYPERLINK("http://www.broadinstitute.org/gsea/msigdb/cards/GOBP_POST_EMBRYONIC_ANIMAL_MORPHOGENESIS.html","GOBP_POST_EMBRYONIC_ANIMAL_MORPHOGENESIS")</f>
        <v>GOBP_POST_EMBRYONIC_ANIMAL_MORPHOGENESIS</v>
      </c>
      <c r="C2285" s="4">
        <v>17</v>
      </c>
      <c r="D2285" s="3">
        <v>1.2893018000000001</v>
      </c>
      <c r="E2285" s="1">
        <v>0.14359862000000001</v>
      </c>
      <c r="F2285" s="2">
        <v>0.2009716</v>
      </c>
    </row>
    <row r="2286" spans="1:6" x14ac:dyDescent="0.25">
      <c r="A2286" t="s">
        <v>6</v>
      </c>
      <c r="B2286" s="5" t="str">
        <f>HYPERLINK("http://www.broadinstitute.org/gsea/msigdb/cards/GOBP_NEGATIVE_REGULATION_OF_CELL_DEVELOPMENT.html","GOBP_NEGATIVE_REGULATION_OF_CELL_DEVELOPMENT")</f>
        <v>GOBP_NEGATIVE_REGULATION_OF_CELL_DEVELOPMENT</v>
      </c>
      <c r="C2286" s="4">
        <v>310</v>
      </c>
      <c r="D2286" s="3">
        <v>1.2892619999999999</v>
      </c>
      <c r="E2286" s="1">
        <v>1.8641810000000002E-2</v>
      </c>
      <c r="F2286" s="2">
        <v>0.20093050000000001</v>
      </c>
    </row>
    <row r="2287" spans="1:6" x14ac:dyDescent="0.25">
      <c r="A2287" t="s">
        <v>6</v>
      </c>
      <c r="B2287" s="5" t="str">
        <f>HYPERLINK("http://www.broadinstitute.org/gsea/msigdb/cards/GOBP_NEGATIVE_REGULATION_OF_POST_TRANSLATIONAL_PROTEIN_MODIFICATION.html","GOBP_NEGATIVE_REGULATION_OF_POST_TRANSLATIONAL_PROTEIN_MODIFICATION")</f>
        <v>GOBP_NEGATIVE_REGULATION_OF_POST_TRANSLATIONAL_PROTEIN_MODIFICATION</v>
      </c>
      <c r="C2287" s="4">
        <v>95</v>
      </c>
      <c r="D2287" s="3">
        <v>1.2889630000000001</v>
      </c>
      <c r="E2287" s="1">
        <v>7.3025339999999994E-2</v>
      </c>
      <c r="F2287" s="2">
        <v>0.20121523999999999</v>
      </c>
    </row>
    <row r="2288" spans="1:6" x14ac:dyDescent="0.25">
      <c r="A2288" t="s">
        <v>11</v>
      </c>
      <c r="B2288" s="5" t="str">
        <f>HYPERLINK("http://www.broadinstitute.org/gsea/msigdb/cards/WP_SPHINGOLIPID_METABOLISM_INTEGRATED_PATHWAY.html","WP_SPHINGOLIPID_METABOLISM_INTEGRATED_PATHWAY")</f>
        <v>WP_SPHINGOLIPID_METABOLISM_INTEGRATED_PATHWAY</v>
      </c>
      <c r="C2288" s="4">
        <v>24</v>
      </c>
      <c r="D2288" s="3">
        <v>1.2889485000000001</v>
      </c>
      <c r="E2288" s="1">
        <v>0.11892796999999999</v>
      </c>
      <c r="F2288" s="2">
        <v>0.20114610999999999</v>
      </c>
    </row>
    <row r="2289" spans="1:6" x14ac:dyDescent="0.25">
      <c r="A2289" t="s">
        <v>6</v>
      </c>
      <c r="B2289" s="5" t="str">
        <f>HYPERLINK("http://www.broadinstitute.org/gsea/msigdb/cards/GOBP_SECONDARY_METABOLIC_PROCESS.html","GOBP_SECONDARY_METABOLIC_PROCESS")</f>
        <v>GOBP_SECONDARY_METABOLIC_PROCESS</v>
      </c>
      <c r="C2289" s="4">
        <v>58</v>
      </c>
      <c r="D2289" s="3">
        <v>1.2879837999999999</v>
      </c>
      <c r="E2289" s="1">
        <v>9.7444089999999997E-2</v>
      </c>
      <c r="F2289" s="2">
        <v>0.20226353</v>
      </c>
    </row>
    <row r="2290" spans="1:6" x14ac:dyDescent="0.25">
      <c r="A2290" t="s">
        <v>8</v>
      </c>
      <c r="B2290" s="5" t="str">
        <f>HYPERLINK("http://www.broadinstitute.org/gsea/msigdb/cards/GOMF_CYSTEINE_TYPE_PEPTIDASE_ACTIVITY.html","GOMF_CYSTEINE_TYPE_PEPTIDASE_ACTIVITY")</f>
        <v>GOMF_CYSTEINE_TYPE_PEPTIDASE_ACTIVITY</v>
      </c>
      <c r="C2290" s="4">
        <v>153</v>
      </c>
      <c r="D2290" s="3">
        <v>1.2873528000000001</v>
      </c>
      <c r="E2290" s="1">
        <v>6.1971831999999998E-2</v>
      </c>
      <c r="F2290" s="2">
        <v>0.20296681</v>
      </c>
    </row>
    <row r="2291" spans="1:6" x14ac:dyDescent="0.25">
      <c r="A2291" t="s">
        <v>6</v>
      </c>
      <c r="B2291" s="5" t="str">
        <f>HYPERLINK("http://www.broadinstitute.org/gsea/msigdb/cards/GOBP_FLUID_TRANSPORT.html","GOBP_FLUID_TRANSPORT")</f>
        <v>GOBP_FLUID_TRANSPORT</v>
      </c>
      <c r="C2291" s="4">
        <v>32</v>
      </c>
      <c r="D2291" s="3">
        <v>1.2871048</v>
      </c>
      <c r="E2291" s="1">
        <v>0.14043992999999999</v>
      </c>
      <c r="F2291" s="2">
        <v>0.20319548000000001</v>
      </c>
    </row>
    <row r="2292" spans="1:6" x14ac:dyDescent="0.25">
      <c r="A2292" t="s">
        <v>10</v>
      </c>
      <c r="B2292" s="5" t="str">
        <f>HYPERLINK("http://www.broadinstitute.org/gsea/msigdb/cards/REACTOME_NUCLEOTIDE_SALVAGE.html","REACTOME_NUCLEOTIDE_SALVAGE")</f>
        <v>REACTOME_NUCLEOTIDE_SALVAGE</v>
      </c>
      <c r="C2292" s="4">
        <v>23</v>
      </c>
      <c r="D2292" s="3">
        <v>1.2865314000000001</v>
      </c>
      <c r="E2292" s="1">
        <v>0.13605443</v>
      </c>
      <c r="F2292" s="2">
        <v>0.20382375</v>
      </c>
    </row>
    <row r="2293" spans="1:6" x14ac:dyDescent="0.25">
      <c r="A2293" t="s">
        <v>6</v>
      </c>
      <c r="B2293" s="5" t="str">
        <f>HYPERLINK("http://www.broadinstitute.org/gsea/msigdb/cards/GOBP_REGULATION_OF_PROTEIN_POLYUBIQUITINATION.html","GOBP_REGULATION_OF_PROTEIN_POLYUBIQUITINATION")</f>
        <v>GOBP_REGULATION_OF_PROTEIN_POLYUBIQUITINATION</v>
      </c>
      <c r="C2293" s="4">
        <v>31</v>
      </c>
      <c r="D2293" s="3">
        <v>1.2865268999999999</v>
      </c>
      <c r="E2293" s="1">
        <v>0.13256955000000001</v>
      </c>
      <c r="F2293" s="2">
        <v>0.20374276999999999</v>
      </c>
    </row>
    <row r="2294" spans="1:6" x14ac:dyDescent="0.25">
      <c r="A2294" t="s">
        <v>10</v>
      </c>
      <c r="B2294" s="5" t="str">
        <f>HYPERLINK("http://www.broadinstitute.org/gsea/msigdb/cards/REACTOME_ACTIVATED_TAK1_MEDIATES_P38_MAPK_ACTIVATION.html","REACTOME_ACTIVATED_TAK1_MEDIATES_P38_MAPK_ACTIVATION")</f>
        <v>REACTOME_ACTIVATED_TAK1_MEDIATES_P38_MAPK_ACTIVATION</v>
      </c>
      <c r="C2294" s="4">
        <v>23</v>
      </c>
      <c r="D2294" s="3">
        <v>1.2859598000000001</v>
      </c>
      <c r="E2294" s="1">
        <v>0.15686275</v>
      </c>
      <c r="F2294" s="2">
        <v>0.20441388999999999</v>
      </c>
    </row>
    <row r="2295" spans="1:6" x14ac:dyDescent="0.25">
      <c r="A2295" t="s">
        <v>10</v>
      </c>
      <c r="B2295" s="5" t="str">
        <f>HYPERLINK("http://www.broadinstitute.org/gsea/msigdb/cards/REACTOME_GLUCAGON_LIKE_PEPTIDE_1_GLP1_REGULATES_INSULIN_SECRETION.html","REACTOME_GLUCAGON_LIKE_PEPTIDE_1_GLP1_REGULATES_INSULIN_SECRETION")</f>
        <v>REACTOME_GLUCAGON_LIKE_PEPTIDE_1_GLP1_REGULATES_INSULIN_SECRETION</v>
      </c>
      <c r="C2295" s="4">
        <v>30</v>
      </c>
      <c r="D2295" s="3">
        <v>1.2858683</v>
      </c>
      <c r="E2295" s="1">
        <v>0.13739129999999999</v>
      </c>
      <c r="F2295" s="2">
        <v>0.20444035999999999</v>
      </c>
    </row>
    <row r="2296" spans="1:6" x14ac:dyDescent="0.25">
      <c r="A2296" t="s">
        <v>6</v>
      </c>
      <c r="B2296" s="5" t="str">
        <f>HYPERLINK("http://www.broadinstitute.org/gsea/msigdb/cards/GOBP_NEGATIVE_REGULATION_OF_LIPID_LOCALIZATION.html","GOBP_NEGATIVE_REGULATION_OF_LIPID_LOCALIZATION")</f>
        <v>GOBP_NEGATIVE_REGULATION_OF_LIPID_LOCALIZATION</v>
      </c>
      <c r="C2296" s="4">
        <v>58</v>
      </c>
      <c r="D2296" s="3">
        <v>1.2858255999999999</v>
      </c>
      <c r="E2296" s="1">
        <v>8.8328080000000003E-2</v>
      </c>
      <c r="F2296" s="2">
        <v>0.20439945000000001</v>
      </c>
    </row>
    <row r="2297" spans="1:6" x14ac:dyDescent="0.25">
      <c r="A2297" t="s">
        <v>6</v>
      </c>
      <c r="B2297" s="5" t="str">
        <f>HYPERLINK("http://www.broadinstitute.org/gsea/msigdb/cards/GOBP_JNK_CASCADE.html","GOBP_JNK_CASCADE")</f>
        <v>GOBP_JNK_CASCADE</v>
      </c>
      <c r="C2297" s="4">
        <v>172</v>
      </c>
      <c r="D2297" s="3">
        <v>1.2855802000000001</v>
      </c>
      <c r="E2297" s="1">
        <v>3.7604459999999999E-2</v>
      </c>
      <c r="F2297" s="2">
        <v>0.20461777</v>
      </c>
    </row>
    <row r="2298" spans="1:6" x14ac:dyDescent="0.25">
      <c r="A2298" t="s">
        <v>6</v>
      </c>
      <c r="B2298" s="5" t="str">
        <f>HYPERLINK("http://www.broadinstitute.org/gsea/msigdb/cards/GOBP_NEGATIVE_REGULATION_OF_CELLULAR_RESPONSE_TO_INSULIN_STIMULUS.html","GOBP_NEGATIVE_REGULATION_OF_CELLULAR_RESPONSE_TO_INSULIN_STIMULUS")</f>
        <v>GOBP_NEGATIVE_REGULATION_OF_CELLULAR_RESPONSE_TO_INSULIN_STIMULUS</v>
      </c>
      <c r="C2298" s="4">
        <v>49</v>
      </c>
      <c r="D2298" s="3">
        <v>1.2848265000000001</v>
      </c>
      <c r="E2298" s="1">
        <v>0.10015649</v>
      </c>
      <c r="F2298" s="2">
        <v>0.20549023</v>
      </c>
    </row>
    <row r="2299" spans="1:6" x14ac:dyDescent="0.25">
      <c r="A2299" t="s">
        <v>6</v>
      </c>
      <c r="B2299" s="5" t="str">
        <f>HYPERLINK("http://www.broadinstitute.org/gsea/msigdb/cards/GOBP_POSITIVE_REGULATION_OF_RHO_PROTEIN_SIGNAL_TRANSDUCTION.html","GOBP_POSITIVE_REGULATION_OF_RHO_PROTEIN_SIGNAL_TRANSDUCTION")</f>
        <v>GOBP_POSITIVE_REGULATION_OF_RHO_PROTEIN_SIGNAL_TRANSDUCTION</v>
      </c>
      <c r="C2299" s="4">
        <v>35</v>
      </c>
      <c r="D2299" s="3">
        <v>1.2846542999999999</v>
      </c>
      <c r="E2299" s="1">
        <v>0.11812298</v>
      </c>
      <c r="F2299" s="2">
        <v>0.20562627999999999</v>
      </c>
    </row>
    <row r="2300" spans="1:6" x14ac:dyDescent="0.25">
      <c r="A2300" t="s">
        <v>6</v>
      </c>
      <c r="B2300" s="5" t="str">
        <f>HYPERLINK("http://www.broadinstitute.org/gsea/msigdb/cards/GOBP_ENDOCARDIAL_CUSHION_DEVELOPMENT.html","GOBP_ENDOCARDIAL_CUSHION_DEVELOPMENT")</f>
        <v>GOBP_ENDOCARDIAL_CUSHION_DEVELOPMENT</v>
      </c>
      <c r="C2300" s="4">
        <v>54</v>
      </c>
      <c r="D2300" s="3">
        <v>1.2843465000000001</v>
      </c>
      <c r="E2300" s="1">
        <v>9.7444089999999997E-2</v>
      </c>
      <c r="F2300" s="2">
        <v>0.20595089999999999</v>
      </c>
    </row>
    <row r="2301" spans="1:6" x14ac:dyDescent="0.25">
      <c r="A2301" t="s">
        <v>6</v>
      </c>
      <c r="B2301" s="5" t="str">
        <f>HYPERLINK("http://www.broadinstitute.org/gsea/msigdb/cards/GOBP_POSITIVE_REGULATION_OF_MIRNA_METABOLIC_PROCESS.html","GOBP_POSITIVE_REGULATION_OF_MIRNA_METABOLIC_PROCESS")</f>
        <v>GOBP_POSITIVE_REGULATION_OF_MIRNA_METABOLIC_PROCESS</v>
      </c>
      <c r="C2301" s="4">
        <v>57</v>
      </c>
      <c r="D2301" s="3">
        <v>1.2843382000000001</v>
      </c>
      <c r="E2301" s="1">
        <v>0.12417219</v>
      </c>
      <c r="F2301" s="2">
        <v>0.20586835000000001</v>
      </c>
    </row>
    <row r="2302" spans="1:6" x14ac:dyDescent="0.25">
      <c r="A2302" t="s">
        <v>6</v>
      </c>
      <c r="B2302" s="5" t="str">
        <f>HYPERLINK("http://www.broadinstitute.org/gsea/msigdb/cards/GOBP_REGULATION_OF_FILOPODIUM_ASSEMBLY.html","GOBP_REGULATION_OF_FILOPODIUM_ASSEMBLY")</f>
        <v>GOBP_REGULATION_OF_FILOPODIUM_ASSEMBLY</v>
      </c>
      <c r="C2302" s="4">
        <v>54</v>
      </c>
      <c r="D2302" s="3">
        <v>1.2842465999999999</v>
      </c>
      <c r="E2302" s="1">
        <v>0.11201299000000001</v>
      </c>
      <c r="F2302" s="2">
        <v>0.20588941999999999</v>
      </c>
    </row>
    <row r="2303" spans="1:6" x14ac:dyDescent="0.25">
      <c r="A2303" t="s">
        <v>8</v>
      </c>
      <c r="B2303" s="5" t="str">
        <f>HYPERLINK("http://www.broadinstitute.org/gsea/msigdb/cards/GOMF_AMIDE_BINDING.html","GOMF_AMIDE_BINDING")</f>
        <v>GOMF_AMIDE_BINDING</v>
      </c>
      <c r="C2303" s="4">
        <v>392</v>
      </c>
      <c r="D2303" s="3">
        <v>1.2842327</v>
      </c>
      <c r="E2303" s="1">
        <v>2.0382166E-2</v>
      </c>
      <c r="F2303" s="2">
        <v>0.20582201999999999</v>
      </c>
    </row>
    <row r="2304" spans="1:6" x14ac:dyDescent="0.25">
      <c r="A2304" t="s">
        <v>6</v>
      </c>
      <c r="B2304" s="5" t="str">
        <f>HYPERLINK("http://www.broadinstitute.org/gsea/msigdb/cards/GOBP_RESPONSE_TO_PH.html","GOBP_RESPONSE_TO_PH")</f>
        <v>GOBP_RESPONSE_TO_PH</v>
      </c>
      <c r="C2304" s="4">
        <v>42</v>
      </c>
      <c r="D2304" s="3">
        <v>1.2839579999999999</v>
      </c>
      <c r="E2304" s="1">
        <v>0.10819672</v>
      </c>
      <c r="F2304" s="2">
        <v>0.20608792000000001</v>
      </c>
    </row>
    <row r="2305" spans="1:6" x14ac:dyDescent="0.25">
      <c r="A2305" t="s">
        <v>6</v>
      </c>
      <c r="B2305" s="5" t="str">
        <f>HYPERLINK("http://www.broadinstitute.org/gsea/msigdb/cards/GOBP_MAINTENANCE_OF_BLOOD_BRAIN_BARRIER.html","GOBP_MAINTENANCE_OF_BLOOD_BRAIN_BARRIER")</f>
        <v>GOBP_MAINTENANCE_OF_BLOOD_BRAIN_BARRIER</v>
      </c>
      <c r="C2305" s="4">
        <v>20</v>
      </c>
      <c r="D2305" s="3">
        <v>1.2839294999999999</v>
      </c>
      <c r="E2305" s="1">
        <v>0.13103448000000001</v>
      </c>
      <c r="F2305" s="2">
        <v>0.2060295</v>
      </c>
    </row>
    <row r="2306" spans="1:6" x14ac:dyDescent="0.25">
      <c r="A2306" t="s">
        <v>8</v>
      </c>
      <c r="B2306" s="5" t="str">
        <f>HYPERLINK("http://www.broadinstitute.org/gsea/msigdb/cards/GOMF_TRANSMEMBRANE_RECEPTOR_PROTEIN_TYROSINE_KINASE_ACTIVITY.html","GOMF_TRANSMEMBRANE_RECEPTOR_PROTEIN_TYROSINE_KINASE_ACTIVITY")</f>
        <v>GOMF_TRANSMEMBRANE_RECEPTOR_PROTEIN_TYROSINE_KINASE_ACTIVITY</v>
      </c>
      <c r="C2306" s="4">
        <v>59</v>
      </c>
      <c r="D2306" s="3">
        <v>1.2837826999999999</v>
      </c>
      <c r="E2306" s="1">
        <v>9.6721314000000003E-2</v>
      </c>
      <c r="F2306" s="2">
        <v>0.20613007</v>
      </c>
    </row>
    <row r="2307" spans="1:6" x14ac:dyDescent="0.25">
      <c r="A2307" t="s">
        <v>6</v>
      </c>
      <c r="B2307" s="5" t="str">
        <f>HYPERLINK("http://www.broadinstitute.org/gsea/msigdb/cards/GOBP_POSITIVE_REGULATION_OF_CALCIUM_ION_TRANSMEMBRANE_TRANSPORT.html","GOBP_POSITIVE_REGULATION_OF_CALCIUM_ION_TRANSMEMBRANE_TRANSPORT")</f>
        <v>GOBP_POSITIVE_REGULATION_OF_CALCIUM_ION_TRANSMEMBRANE_TRANSPORT</v>
      </c>
      <c r="C2307" s="4">
        <v>104</v>
      </c>
      <c r="D2307" s="3">
        <v>1.2828059000000001</v>
      </c>
      <c r="E2307" s="1">
        <v>7.0254109999999995E-2</v>
      </c>
      <c r="F2307" s="2">
        <v>0.20727633000000001</v>
      </c>
    </row>
    <row r="2308" spans="1:6" x14ac:dyDescent="0.25">
      <c r="A2308" t="s">
        <v>6</v>
      </c>
      <c r="B2308" s="5" t="str">
        <f>HYPERLINK("http://www.broadinstitute.org/gsea/msigdb/cards/GOBP_POSITIVE_REGULATION_OF_CELL_PROJECTION_ORGANIZATION.html","GOBP_POSITIVE_REGULATION_OF_CELL_PROJECTION_ORGANIZATION")</f>
        <v>GOBP_POSITIVE_REGULATION_OF_CELL_PROJECTION_ORGANIZATION</v>
      </c>
      <c r="C2308" s="4">
        <v>445</v>
      </c>
      <c r="D2308" s="3">
        <v>1.2816384000000001</v>
      </c>
      <c r="E2308" s="1">
        <v>1.2610340499999999E-2</v>
      </c>
      <c r="F2308" s="2">
        <v>0.20875582000000001</v>
      </c>
    </row>
    <row r="2309" spans="1:6" x14ac:dyDescent="0.25">
      <c r="A2309" t="s">
        <v>6</v>
      </c>
      <c r="B2309" s="5" t="str">
        <f>HYPERLINK("http://www.broadinstitute.org/gsea/msigdb/cards/GOBP_REGULATION_OF_EPIDERMAL_GROWTH_FACTOR_ACTIVATED_RECEPTOR_ACTIVITY.html","GOBP_REGULATION_OF_EPIDERMAL_GROWTH_FACTOR_ACTIVATED_RECEPTOR_ACTIVITY")</f>
        <v>GOBP_REGULATION_OF_EPIDERMAL_GROWTH_FACTOR_ACTIVATED_RECEPTOR_ACTIVITY</v>
      </c>
      <c r="C2309" s="4">
        <v>22</v>
      </c>
      <c r="D2309" s="3">
        <v>1.2815322</v>
      </c>
      <c r="E2309" s="1">
        <v>0.16225165</v>
      </c>
      <c r="F2309" s="2">
        <v>0.20879345999999999</v>
      </c>
    </row>
    <row r="2310" spans="1:6" x14ac:dyDescent="0.25">
      <c r="A2310" t="s">
        <v>6</v>
      </c>
      <c r="B2310" s="5" t="str">
        <f>HYPERLINK("http://www.broadinstitute.org/gsea/msigdb/cards/GOBP_REGULATION_OF_COLLAGEN_METABOLIC_PROCESS.html","GOBP_REGULATION_OF_COLLAGEN_METABOLIC_PROCESS")</f>
        <v>GOBP_REGULATION_OF_COLLAGEN_METABOLIC_PROCESS</v>
      </c>
      <c r="C2310" s="4">
        <v>63</v>
      </c>
      <c r="D2310" s="3">
        <v>1.281264</v>
      </c>
      <c r="E2310" s="1">
        <v>9.1653029999999996E-2</v>
      </c>
      <c r="F2310" s="2">
        <v>0.20905178999999999</v>
      </c>
    </row>
    <row r="2311" spans="1:6" x14ac:dyDescent="0.25">
      <c r="A2311" t="s">
        <v>6</v>
      </c>
      <c r="B2311" s="5" t="str">
        <f>HYPERLINK("http://www.broadinstitute.org/gsea/msigdb/cards/GOBP_REGULATION_OF_RECEPTOR_RECYCLING.html","GOBP_REGULATION_OF_RECEPTOR_RECYCLING")</f>
        <v>GOBP_REGULATION_OF_RECEPTOR_RECYCLING</v>
      </c>
      <c r="C2311" s="4">
        <v>30</v>
      </c>
      <c r="D2311" s="3">
        <v>1.2811170000000001</v>
      </c>
      <c r="E2311" s="1">
        <v>0.13709678</v>
      </c>
      <c r="F2311" s="2">
        <v>0.20915373000000001</v>
      </c>
    </row>
    <row r="2312" spans="1:6" x14ac:dyDescent="0.25">
      <c r="A2312" t="s">
        <v>6</v>
      </c>
      <c r="B2312" s="5" t="str">
        <f>HYPERLINK("http://www.broadinstitute.org/gsea/msigdb/cards/GOBP_POSITIVE_REGULATION_OF_PROTEIN_CONTAINING_COMPLEX_DISASSEMBLY.html","GOBP_POSITIVE_REGULATION_OF_PROTEIN_CONTAINING_COMPLEX_DISASSEMBLY")</f>
        <v>GOBP_POSITIVE_REGULATION_OF_PROTEIN_CONTAINING_COMPLEX_DISASSEMBLY</v>
      </c>
      <c r="C2312" s="4">
        <v>37</v>
      </c>
      <c r="D2312" s="3">
        <v>1.2810322000000001</v>
      </c>
      <c r="E2312" s="1">
        <v>0.12603648000000001</v>
      </c>
      <c r="F2312" s="2">
        <v>0.20916953999999999</v>
      </c>
    </row>
    <row r="2313" spans="1:6" x14ac:dyDescent="0.25">
      <c r="A2313" t="s">
        <v>6</v>
      </c>
      <c r="B2313" s="5" t="str">
        <f>HYPERLINK("http://www.broadinstitute.org/gsea/msigdb/cards/GOBP_AORTA_MORPHOGENESIS.html","GOBP_AORTA_MORPHOGENESIS")</f>
        <v>GOBP_AORTA_MORPHOGENESIS</v>
      </c>
      <c r="C2313" s="4">
        <v>37</v>
      </c>
      <c r="D2313" s="3">
        <v>1.2807795</v>
      </c>
      <c r="E2313" s="1">
        <v>0.12418301</v>
      </c>
      <c r="F2313" s="2">
        <v>0.20939355000000001</v>
      </c>
    </row>
    <row r="2314" spans="1:6" x14ac:dyDescent="0.25">
      <c r="A2314" t="s">
        <v>5</v>
      </c>
      <c r="B2314" s="5" t="str">
        <f>HYPERLINK("http://www.broadinstitute.org/gsea/msigdb/cards/BIOCARTA_RELA_PATHWAY.html","BIOCARTA_RELA_PATHWAY")</f>
        <v>BIOCARTA_RELA_PATHWAY</v>
      </c>
      <c r="C2314" s="4">
        <v>15</v>
      </c>
      <c r="D2314" s="3">
        <v>1.2807206</v>
      </c>
      <c r="E2314" s="1">
        <v>0.15094340000000001</v>
      </c>
      <c r="F2314" s="2">
        <v>0.20938456</v>
      </c>
    </row>
    <row r="2315" spans="1:6" x14ac:dyDescent="0.25">
      <c r="A2315" t="s">
        <v>6</v>
      </c>
      <c r="B2315" s="5" t="str">
        <f>HYPERLINK("http://www.broadinstitute.org/gsea/msigdb/cards/GOBP_IMMUNOGLOBULIN_PRODUCTION_INVOLVED_IN_IMMUNOGLOBULIN_MEDIATED_IMMUNE_RESPONSE.html","GOBP_IMMUNOGLOBULIN_PRODUCTION_INVOLVED_IN_IMMUNOGLOBULIN_MEDIATED_IMMUNE_RESPONSE")</f>
        <v>GOBP_IMMUNOGLOBULIN_PRODUCTION_INVOLVED_IN_IMMUNOGLOBULIN_MEDIATED_IMMUNE_RESPONSE</v>
      </c>
      <c r="C2315" s="4">
        <v>68</v>
      </c>
      <c r="D2315" s="3">
        <v>1.2806792</v>
      </c>
      <c r="E2315" s="1">
        <v>0.10747664</v>
      </c>
      <c r="F2315" s="2">
        <v>0.20935269000000001</v>
      </c>
    </row>
    <row r="2316" spans="1:6" x14ac:dyDescent="0.25">
      <c r="A2316" t="s">
        <v>6</v>
      </c>
      <c r="B2316" s="5" t="str">
        <f>HYPERLINK("http://www.broadinstitute.org/gsea/msigdb/cards/GOBP_CELL_JUNCTION_ASSEMBLY.html","GOBP_CELL_JUNCTION_ASSEMBLY")</f>
        <v>GOBP_CELL_JUNCTION_ASSEMBLY</v>
      </c>
      <c r="C2316" s="4">
        <v>460</v>
      </c>
      <c r="D2316" s="3">
        <v>1.2806516999999999</v>
      </c>
      <c r="E2316" s="1">
        <v>1.3563502E-2</v>
      </c>
      <c r="F2316" s="2">
        <v>0.20929410000000001</v>
      </c>
    </row>
    <row r="2317" spans="1:6" x14ac:dyDescent="0.25">
      <c r="A2317" t="s">
        <v>6</v>
      </c>
      <c r="B2317" s="5" t="str">
        <f>HYPERLINK("http://www.broadinstitute.org/gsea/msigdb/cards/GOBP_CELLULAR_RESPONSE_TO_CADMIUM_ION.html","GOBP_CELLULAR_RESPONSE_TO_CADMIUM_ION")</f>
        <v>GOBP_CELLULAR_RESPONSE_TO_CADMIUM_ION</v>
      </c>
      <c r="C2317" s="4">
        <v>28</v>
      </c>
      <c r="D2317" s="3">
        <v>1.2801488999999999</v>
      </c>
      <c r="E2317" s="1">
        <v>0.13898305999999999</v>
      </c>
      <c r="F2317" s="2">
        <v>0.20982762999999999</v>
      </c>
    </row>
    <row r="2318" spans="1:6" x14ac:dyDescent="0.25">
      <c r="A2318" t="s">
        <v>6</v>
      </c>
      <c r="B2318" s="5" t="str">
        <f>HYPERLINK("http://www.broadinstitute.org/gsea/msigdb/cards/GOBP_REGULATION_OF_RUFFLE_ASSEMBLY.html","GOBP_REGULATION_OF_RUFFLE_ASSEMBLY")</f>
        <v>GOBP_REGULATION_OF_RUFFLE_ASSEMBLY</v>
      </c>
      <c r="C2318" s="4">
        <v>29</v>
      </c>
      <c r="D2318" s="3">
        <v>1.280114</v>
      </c>
      <c r="E2318" s="1">
        <v>0.14862681999999999</v>
      </c>
      <c r="F2318" s="2">
        <v>0.20978141</v>
      </c>
    </row>
    <row r="2319" spans="1:6" x14ac:dyDescent="0.25">
      <c r="A2319" t="s">
        <v>6</v>
      </c>
      <c r="B2319" s="5" t="str">
        <f>HYPERLINK("http://www.broadinstitute.org/gsea/msigdb/cards/GOBP_CELLULAR_RESPONSE_TO_ALKALOID.html","GOBP_CELLULAR_RESPONSE_TO_ALKALOID")</f>
        <v>GOBP_CELLULAR_RESPONSE_TO_ALKALOID</v>
      </c>
      <c r="C2319" s="4">
        <v>29</v>
      </c>
      <c r="D2319" s="3">
        <v>1.2800982999999999</v>
      </c>
      <c r="E2319" s="1">
        <v>0.13833334</v>
      </c>
      <c r="F2319" s="2">
        <v>0.20971096</v>
      </c>
    </row>
    <row r="2320" spans="1:6" x14ac:dyDescent="0.25">
      <c r="A2320" t="s">
        <v>10</v>
      </c>
      <c r="B2320" s="5" t="str">
        <f>HYPERLINK("http://www.broadinstitute.org/gsea/msigdb/cards/REACTOME_FLT3_SIGNALING.html","REACTOME_FLT3_SIGNALING")</f>
        <v>REACTOME_FLT3_SIGNALING</v>
      </c>
      <c r="C2320" s="4">
        <v>29</v>
      </c>
      <c r="D2320" s="3">
        <v>1.2798826000000001</v>
      </c>
      <c r="E2320" s="1">
        <v>0.12413792999999999</v>
      </c>
      <c r="F2320" s="2">
        <v>0.20990781</v>
      </c>
    </row>
    <row r="2321" spans="1:6" x14ac:dyDescent="0.25">
      <c r="A2321" t="s">
        <v>6</v>
      </c>
      <c r="B2321" s="5" t="str">
        <f>HYPERLINK("http://www.broadinstitute.org/gsea/msigdb/cards/GOBP_TROPHOBLAST_GIANT_CELL_DIFFERENTIATION.html","GOBP_TROPHOBLAST_GIANT_CELL_DIFFERENTIATION")</f>
        <v>GOBP_TROPHOBLAST_GIANT_CELL_DIFFERENTIATION</v>
      </c>
      <c r="C2321" s="4">
        <v>17</v>
      </c>
      <c r="D2321" s="3">
        <v>1.2798031999999999</v>
      </c>
      <c r="E2321" s="1">
        <v>0.17894736999999999</v>
      </c>
      <c r="F2321" s="2">
        <v>0.20992456000000001</v>
      </c>
    </row>
    <row r="2322" spans="1:6" x14ac:dyDescent="0.25">
      <c r="A2322" t="s">
        <v>6</v>
      </c>
      <c r="B2322" s="5" t="str">
        <f>HYPERLINK("http://www.broadinstitute.org/gsea/msigdb/cards/GOBP_NEGATIVE_REGULATION_OF_TRANSMEMBRANE_TRANSPORT.html","GOBP_NEGATIVE_REGULATION_OF_TRANSMEMBRANE_TRANSPORT")</f>
        <v>GOBP_NEGATIVE_REGULATION_OF_TRANSMEMBRANE_TRANSPORT</v>
      </c>
      <c r="C2322" s="4">
        <v>145</v>
      </c>
      <c r="D2322" s="3">
        <v>1.2790524000000001</v>
      </c>
      <c r="E2322" s="1">
        <v>6.6473989999999997E-2</v>
      </c>
      <c r="F2322" s="2">
        <v>0.21080323000000001</v>
      </c>
    </row>
    <row r="2323" spans="1:6" x14ac:dyDescent="0.25">
      <c r="A2323" t="s">
        <v>10</v>
      </c>
      <c r="B2323" s="5" t="str">
        <f>HYPERLINK("http://www.broadinstitute.org/gsea/msigdb/cards/REACTOME_ACTIVATION_OF_KAINATE_RECEPTORS_UPON_GLUTAMATE_BINDING.html","REACTOME_ACTIVATION_OF_KAINATE_RECEPTORS_UPON_GLUTAMATE_BINDING")</f>
        <v>REACTOME_ACTIVATION_OF_KAINATE_RECEPTORS_UPON_GLUTAMATE_BINDING</v>
      </c>
      <c r="C2323" s="4">
        <v>31</v>
      </c>
      <c r="D2323" s="3">
        <v>1.2789937</v>
      </c>
      <c r="E2323" s="1">
        <v>0.12929623000000001</v>
      </c>
      <c r="F2323" s="2">
        <v>0.21079123</v>
      </c>
    </row>
    <row r="2324" spans="1:6" x14ac:dyDescent="0.25">
      <c r="A2324" t="s">
        <v>6</v>
      </c>
      <c r="B2324" s="5" t="str">
        <f>HYPERLINK("http://www.broadinstitute.org/gsea/msigdb/cards/GOBP_TRABECULA_MORPHOGENESIS.html","GOBP_TRABECULA_MORPHOGENESIS")</f>
        <v>GOBP_TRABECULA_MORPHOGENESIS</v>
      </c>
      <c r="C2324" s="4">
        <v>54</v>
      </c>
      <c r="D2324" s="3">
        <v>1.2788861</v>
      </c>
      <c r="E2324" s="1">
        <v>9.7520664000000007E-2</v>
      </c>
      <c r="F2324" s="2">
        <v>0.21082790000000001</v>
      </c>
    </row>
    <row r="2325" spans="1:6" x14ac:dyDescent="0.25">
      <c r="A2325" t="s">
        <v>6</v>
      </c>
      <c r="B2325" s="5" t="str">
        <f>HYPERLINK("http://www.broadinstitute.org/gsea/msigdb/cards/GOBP_AORTIC_VALVE_DEVELOPMENT.html","GOBP_AORTIC_VALVE_DEVELOPMENT")</f>
        <v>GOBP_AORTIC_VALVE_DEVELOPMENT</v>
      </c>
      <c r="C2325" s="4">
        <v>34</v>
      </c>
      <c r="D2325" s="3">
        <v>1.2781407</v>
      </c>
      <c r="E2325" s="1">
        <v>0.12376238000000001</v>
      </c>
      <c r="F2325" s="2">
        <v>0.21168925</v>
      </c>
    </row>
    <row r="2326" spans="1:6" x14ac:dyDescent="0.25">
      <c r="A2326" t="s">
        <v>6</v>
      </c>
      <c r="B2326" s="5" t="str">
        <f>HYPERLINK("http://www.broadinstitute.org/gsea/msigdb/cards/GOBP_PROTEIN_LOCALIZATION_TO_EXTRACELLULAR_REGION.html","GOBP_PROTEIN_LOCALIZATION_TO_EXTRACELLULAR_REGION")</f>
        <v>GOBP_PROTEIN_LOCALIZATION_TO_EXTRACELLULAR_REGION</v>
      </c>
      <c r="C2326" s="4">
        <v>413</v>
      </c>
      <c r="D2326" s="3">
        <v>1.2778446999999999</v>
      </c>
      <c r="E2326" s="1">
        <v>2.2929937000000001E-2</v>
      </c>
      <c r="F2326" s="2">
        <v>0.21196042000000001</v>
      </c>
    </row>
    <row r="2327" spans="1:6" x14ac:dyDescent="0.25">
      <c r="A2327" t="s">
        <v>7</v>
      </c>
      <c r="B2327" s="5" t="str">
        <f>HYPERLINK("http://www.broadinstitute.org/gsea/msigdb/cards/GOCC_POSTSYNAPTIC_CYTOSKELETON.html","GOCC_POSTSYNAPTIC_CYTOSKELETON")</f>
        <v>GOCC_POSTSYNAPTIC_CYTOSKELETON</v>
      </c>
      <c r="C2327" s="4">
        <v>23</v>
      </c>
      <c r="D2327" s="3">
        <v>1.2775555000000001</v>
      </c>
      <c r="E2327" s="1">
        <v>0.16721311</v>
      </c>
      <c r="F2327" s="2">
        <v>0.21224715999999999</v>
      </c>
    </row>
    <row r="2328" spans="1:6" x14ac:dyDescent="0.25">
      <c r="A2328" t="s">
        <v>6</v>
      </c>
      <c r="B2328" s="5" t="str">
        <f>HYPERLINK("http://www.broadinstitute.org/gsea/msigdb/cards/GOBP_CELLULAR_RESPONSE_TO_HYPOXIA.html","GOBP_CELLULAR_RESPONSE_TO_HYPOXIA")</f>
        <v>GOBP_CELLULAR_RESPONSE_TO_HYPOXIA</v>
      </c>
      <c r="C2328" s="4">
        <v>114</v>
      </c>
      <c r="D2328" s="3">
        <v>1.2773983</v>
      </c>
      <c r="E2328" s="1">
        <v>6.7278290000000004E-2</v>
      </c>
      <c r="F2328" s="2">
        <v>0.21236677000000001</v>
      </c>
    </row>
    <row r="2329" spans="1:6" x14ac:dyDescent="0.25">
      <c r="A2329" t="s">
        <v>6</v>
      </c>
      <c r="B2329" s="5" t="str">
        <f>HYPERLINK("http://www.broadinstitute.org/gsea/msigdb/cards/GOBP_REGULATION_OF_CELL_MATURATION.html","GOBP_REGULATION_OF_CELL_MATURATION")</f>
        <v>GOBP_REGULATION_OF_CELL_MATURATION</v>
      </c>
      <c r="C2329" s="4">
        <v>29</v>
      </c>
      <c r="D2329" s="3">
        <v>1.2763537</v>
      </c>
      <c r="E2329" s="1">
        <v>0.12520592999999999</v>
      </c>
      <c r="F2329" s="2">
        <v>0.21369097000000001</v>
      </c>
    </row>
    <row r="2330" spans="1:6" x14ac:dyDescent="0.25">
      <c r="A2330" t="s">
        <v>6</v>
      </c>
      <c r="B2330" s="5" t="str">
        <f>HYPERLINK("http://www.broadinstitute.org/gsea/msigdb/cards/GOBP_RESPONSE_TO_ARSENIC_CONTAINING_SUBSTANCE.html","GOBP_RESPONSE_TO_ARSENIC_CONTAINING_SUBSTANCE")</f>
        <v>GOBP_RESPONSE_TO_ARSENIC_CONTAINING_SUBSTANCE</v>
      </c>
      <c r="C2330" s="4">
        <v>27</v>
      </c>
      <c r="D2330" s="3">
        <v>1.2759734</v>
      </c>
      <c r="E2330" s="1">
        <v>0.14675768</v>
      </c>
      <c r="F2330" s="2">
        <v>0.21408874</v>
      </c>
    </row>
    <row r="2331" spans="1:6" x14ac:dyDescent="0.25">
      <c r="A2331" t="s">
        <v>8</v>
      </c>
      <c r="B2331" s="5" t="str">
        <f>HYPERLINK("http://www.broadinstitute.org/gsea/msigdb/cards/GOMF_PHOSPHATIDYLINOSITOL_KINASE_ACTIVITY.html","GOMF_PHOSPHATIDYLINOSITOL_KINASE_ACTIVITY")</f>
        <v>GOMF_PHOSPHATIDYLINOSITOL_KINASE_ACTIVITY</v>
      </c>
      <c r="C2331" s="4">
        <v>24</v>
      </c>
      <c r="D2331" s="3">
        <v>1.275352</v>
      </c>
      <c r="E2331" s="1">
        <v>0.16254418000000001</v>
      </c>
      <c r="F2331" s="2">
        <v>0.21482544000000001</v>
      </c>
    </row>
    <row r="2332" spans="1:6" x14ac:dyDescent="0.25">
      <c r="A2332" t="s">
        <v>6</v>
      </c>
      <c r="B2332" s="5" t="str">
        <f>HYPERLINK("http://www.broadinstitute.org/gsea/msigdb/cards/GOBP_ARTERY_DEVELOPMENT.html","GOBP_ARTERY_DEVELOPMENT")</f>
        <v>GOBP_ARTERY_DEVELOPMENT</v>
      </c>
      <c r="C2332" s="4">
        <v>117</v>
      </c>
      <c r="D2332" s="3">
        <v>1.2753000000000001</v>
      </c>
      <c r="E2332" s="1">
        <v>6.1469264000000003E-2</v>
      </c>
      <c r="F2332" s="2">
        <v>0.21480255000000001</v>
      </c>
    </row>
    <row r="2333" spans="1:6" x14ac:dyDescent="0.25">
      <c r="A2333" t="s">
        <v>5</v>
      </c>
      <c r="B2333" s="5" t="str">
        <f>HYPERLINK("http://www.broadinstitute.org/gsea/msigdb/cards/BIOCARTA_TOLL_PATHWAY.html","BIOCARTA_TOLL_PATHWAY")</f>
        <v>BIOCARTA_TOLL_PATHWAY</v>
      </c>
      <c r="C2333" s="4">
        <v>24</v>
      </c>
      <c r="D2333" s="3">
        <v>1.2752273000000001</v>
      </c>
      <c r="E2333" s="1">
        <v>0.15451390000000001</v>
      </c>
      <c r="F2333" s="2">
        <v>0.21482660000000001</v>
      </c>
    </row>
    <row r="2334" spans="1:6" x14ac:dyDescent="0.25">
      <c r="A2334" t="s">
        <v>6</v>
      </c>
      <c r="B2334" s="5" t="str">
        <f>HYPERLINK("http://www.broadinstitute.org/gsea/msigdb/cards/GOBP_GLUTAMATE_SECRETION.html","GOBP_GLUTAMATE_SECRETION")</f>
        <v>GOBP_GLUTAMATE_SECRETION</v>
      </c>
      <c r="C2334" s="4">
        <v>37</v>
      </c>
      <c r="D2334" s="3">
        <v>1.275023</v>
      </c>
      <c r="E2334" s="1">
        <v>0.13545151</v>
      </c>
      <c r="F2334" s="2">
        <v>0.21498792</v>
      </c>
    </row>
    <row r="2335" spans="1:6" x14ac:dyDescent="0.25">
      <c r="A2335" t="s">
        <v>10</v>
      </c>
      <c r="B2335" s="5" t="str">
        <f>HYPERLINK("http://www.broadinstitute.org/gsea/msigdb/cards/REACTOME_RHOV_GTPASE_CYCLE.html","REACTOME_RHOV_GTPASE_CYCLE")</f>
        <v>REACTOME_RHOV_GTPASE_CYCLE</v>
      </c>
      <c r="C2335" s="4">
        <v>36</v>
      </c>
      <c r="D2335" s="3">
        <v>1.2748818</v>
      </c>
      <c r="E2335" s="1">
        <v>0.12811980000000001</v>
      </c>
      <c r="F2335" s="2">
        <v>0.21506195</v>
      </c>
    </row>
    <row r="2336" spans="1:6" x14ac:dyDescent="0.25">
      <c r="A2336" t="s">
        <v>6</v>
      </c>
      <c r="B2336" s="5" t="str">
        <f>HYPERLINK("http://www.broadinstitute.org/gsea/msigdb/cards/GOBP_REGULATION_OF_GLIAL_CELL_PROLIFERATION.html","GOBP_REGULATION_OF_GLIAL_CELL_PROLIFERATION")</f>
        <v>GOBP_REGULATION_OF_GLIAL_CELL_PROLIFERATION</v>
      </c>
      <c r="C2336" s="4">
        <v>55</v>
      </c>
      <c r="D2336" s="3">
        <v>1.2746868</v>
      </c>
      <c r="E2336" s="1">
        <v>0.10651828000000001</v>
      </c>
      <c r="F2336" s="2">
        <v>0.21522552</v>
      </c>
    </row>
    <row r="2337" spans="1:6" x14ac:dyDescent="0.25">
      <c r="A2337" t="s">
        <v>8</v>
      </c>
      <c r="B2337" s="5" t="str">
        <f>HYPERLINK("http://www.broadinstitute.org/gsea/msigdb/cards/GOMF_GROWTH_FACTOR_ACTIVITY.html","GOMF_GROWTH_FACTOR_ACTIVITY")</f>
        <v>GOMF_GROWTH_FACTOR_ACTIVITY</v>
      </c>
      <c r="C2337" s="4">
        <v>140</v>
      </c>
      <c r="D2337" s="3">
        <v>1.2746124000000001</v>
      </c>
      <c r="E2337" s="1">
        <v>5.4491900000000003E-2</v>
      </c>
      <c r="F2337" s="2">
        <v>0.21522884</v>
      </c>
    </row>
    <row r="2338" spans="1:6" x14ac:dyDescent="0.25">
      <c r="A2338" t="s">
        <v>6</v>
      </c>
      <c r="B2338" s="5" t="str">
        <f>HYPERLINK("http://www.broadinstitute.org/gsea/msigdb/cards/GOBP_NEPHRON_DEVELOPMENT.html","GOBP_NEPHRON_DEVELOPMENT")</f>
        <v>GOBP_NEPHRON_DEVELOPMENT</v>
      </c>
      <c r="C2338" s="4">
        <v>158</v>
      </c>
      <c r="D2338" s="3">
        <v>1.2743567</v>
      </c>
      <c r="E2338" s="1">
        <v>6.0171919999999997E-2</v>
      </c>
      <c r="F2338" s="2">
        <v>0.21546175000000001</v>
      </c>
    </row>
    <row r="2339" spans="1:6" x14ac:dyDescent="0.25">
      <c r="A2339" t="s">
        <v>8</v>
      </c>
      <c r="B2339" s="5" t="str">
        <f>HYPERLINK("http://www.broadinstitute.org/gsea/msigdb/cards/GOMF_CHEMOREPELLENT_ACTIVITY.html","GOMF_CHEMOREPELLENT_ACTIVITY")</f>
        <v>GOMF_CHEMOREPELLENT_ACTIVITY</v>
      </c>
      <c r="C2339" s="4">
        <v>28</v>
      </c>
      <c r="D2339" s="3">
        <v>1.2736647000000001</v>
      </c>
      <c r="E2339" s="1">
        <v>0.13333333999999999</v>
      </c>
      <c r="F2339" s="2">
        <v>0.21627593000000001</v>
      </c>
    </row>
    <row r="2340" spans="1:6" x14ac:dyDescent="0.25">
      <c r="A2340" t="s">
        <v>6</v>
      </c>
      <c r="B2340" s="5" t="str">
        <f>HYPERLINK("http://www.broadinstitute.org/gsea/msigdb/cards/GOBP_CELLULAR_RESPONSE_TO_KETONE.html","GOBP_CELLULAR_RESPONSE_TO_KETONE")</f>
        <v>GOBP_CELLULAR_RESPONSE_TO_KETONE</v>
      </c>
      <c r="C2340" s="4">
        <v>98</v>
      </c>
      <c r="D2340" s="3">
        <v>1.2734216</v>
      </c>
      <c r="E2340" s="1">
        <v>8.5209005000000004E-2</v>
      </c>
      <c r="F2340" s="2">
        <v>0.21650326</v>
      </c>
    </row>
    <row r="2341" spans="1:6" x14ac:dyDescent="0.25">
      <c r="A2341" t="s">
        <v>8</v>
      </c>
      <c r="B2341" s="5" t="str">
        <f>HYPERLINK("http://www.broadinstitute.org/gsea/msigdb/cards/GOMF_SIALYLTRANSFERASE_ACTIVITY.html","GOMF_SIALYLTRANSFERASE_ACTIVITY")</f>
        <v>GOMF_SIALYLTRANSFERASE_ACTIVITY</v>
      </c>
      <c r="C2341" s="4">
        <v>20</v>
      </c>
      <c r="D2341" s="3">
        <v>1.2728727</v>
      </c>
      <c r="E2341" s="1">
        <v>0.14808652</v>
      </c>
      <c r="F2341" s="2">
        <v>0.21711738</v>
      </c>
    </row>
    <row r="2342" spans="1:6" x14ac:dyDescent="0.25">
      <c r="A2342" t="s">
        <v>6</v>
      </c>
      <c r="B2342" s="5" t="str">
        <f>HYPERLINK("http://www.broadinstitute.org/gsea/msigdb/cards/GOBP_CELLULAR_RESPONSE_TO_ORGANIC_CYCLIC_COMPOUND.html","GOBP_CELLULAR_RESPONSE_TO_ORGANIC_CYCLIC_COMPOUND")</f>
        <v>GOBP_CELLULAR_RESPONSE_TO_ORGANIC_CYCLIC_COMPOUND</v>
      </c>
      <c r="C2342" s="4">
        <v>476</v>
      </c>
      <c r="D2342" s="3">
        <v>1.2724606000000001</v>
      </c>
      <c r="E2342" s="1">
        <v>1.0012516000000001E-2</v>
      </c>
      <c r="F2342" s="2">
        <v>0.21757662</v>
      </c>
    </row>
    <row r="2343" spans="1:6" x14ac:dyDescent="0.25">
      <c r="A2343" t="s">
        <v>6</v>
      </c>
      <c r="B2343" s="5" t="str">
        <f>HYPERLINK("http://www.broadinstitute.org/gsea/msigdb/cards/GOBP_NON_CANONICAL_WNT_SIGNALING_PATHWAY.html","GOBP_NON_CANONICAL_WNT_SIGNALING_PATHWAY")</f>
        <v>GOBP_NON_CANONICAL_WNT_SIGNALING_PATHWAY</v>
      </c>
      <c r="C2343" s="4">
        <v>58</v>
      </c>
      <c r="D2343" s="3">
        <v>1.2720009999999999</v>
      </c>
      <c r="E2343" s="1">
        <v>0.11525974</v>
      </c>
      <c r="F2343" s="2">
        <v>0.21808963000000001</v>
      </c>
    </row>
    <row r="2344" spans="1:6" x14ac:dyDescent="0.25">
      <c r="A2344" t="s">
        <v>6</v>
      </c>
      <c r="B2344" s="5" t="str">
        <f>HYPERLINK("http://www.broadinstitute.org/gsea/msigdb/cards/GOBP_PLASMA_MEMBRANE_ORGANIZATION.html","GOBP_PLASMA_MEMBRANE_ORGANIZATION")</f>
        <v>GOBP_PLASMA_MEMBRANE_ORGANIZATION</v>
      </c>
      <c r="C2344" s="4">
        <v>160</v>
      </c>
      <c r="D2344" s="3">
        <v>1.2716068</v>
      </c>
      <c r="E2344" s="1">
        <v>6.9800570000000006E-2</v>
      </c>
      <c r="F2344" s="2">
        <v>0.21854203999999999</v>
      </c>
    </row>
    <row r="2345" spans="1:6" x14ac:dyDescent="0.25">
      <c r="A2345" t="s">
        <v>10</v>
      </c>
      <c r="B2345" s="5" t="str">
        <f>HYPERLINK("http://www.broadinstitute.org/gsea/msigdb/cards/REACTOME_RAF_INDEPENDENT_MAPK1_3_ACTIVATION.html","REACTOME_RAF_INDEPENDENT_MAPK1_3_ACTIVATION")</f>
        <v>REACTOME_RAF_INDEPENDENT_MAPK1_3_ACTIVATION</v>
      </c>
      <c r="C2345" s="4">
        <v>22</v>
      </c>
      <c r="D2345" s="3">
        <v>1.2714919</v>
      </c>
      <c r="E2345" s="1">
        <v>0.15816326</v>
      </c>
      <c r="F2345" s="2">
        <v>0.21859524999999999</v>
      </c>
    </row>
    <row r="2346" spans="1:6" x14ac:dyDescent="0.25">
      <c r="A2346" t="s">
        <v>6</v>
      </c>
      <c r="B2346" s="5" t="str">
        <f>HYPERLINK("http://www.broadinstitute.org/gsea/msigdb/cards/GOBP_REGULATION_OF_SMALL_MOLECULE_METABOLIC_PROCESS.html","GOBP_REGULATION_OF_SMALL_MOLECULE_METABOLIC_PROCESS")</f>
        <v>GOBP_REGULATION_OF_SMALL_MOLECULE_METABOLIC_PROCESS</v>
      </c>
      <c r="C2346" s="4">
        <v>372</v>
      </c>
      <c r="D2346" s="3">
        <v>1.2713471999999999</v>
      </c>
      <c r="E2346" s="1">
        <v>2.3376622999999999E-2</v>
      </c>
      <c r="F2346" s="2">
        <v>0.21867771</v>
      </c>
    </row>
    <row r="2347" spans="1:6" x14ac:dyDescent="0.25">
      <c r="A2347" t="s">
        <v>6</v>
      </c>
      <c r="B2347" s="5" t="str">
        <f>HYPERLINK("http://www.broadinstitute.org/gsea/msigdb/cards/GOBP_REGULATION_OF_FERTILIZATION.html","GOBP_REGULATION_OF_FERTILIZATION")</f>
        <v>GOBP_REGULATION_OF_FERTILIZATION</v>
      </c>
      <c r="C2347" s="4">
        <v>17</v>
      </c>
      <c r="D2347" s="3">
        <v>1.270305</v>
      </c>
      <c r="E2347" s="1">
        <v>0.17073171000000001</v>
      </c>
      <c r="F2347" s="2">
        <v>0.21997315000000001</v>
      </c>
    </row>
    <row r="2348" spans="1:6" x14ac:dyDescent="0.25">
      <c r="A2348" t="s">
        <v>6</v>
      </c>
      <c r="B2348" s="5" t="str">
        <f>HYPERLINK("http://www.broadinstitute.org/gsea/msigdb/cards/GOBP_AMP_BIOSYNTHETIC_PROCESS.html","GOBP_AMP_BIOSYNTHETIC_PROCESS")</f>
        <v>GOBP_AMP_BIOSYNTHETIC_PROCESS</v>
      </c>
      <c r="C2348" s="4">
        <v>15</v>
      </c>
      <c r="D2348" s="3">
        <v>1.2694509</v>
      </c>
      <c r="E2348" s="1">
        <v>0.17333333000000001</v>
      </c>
      <c r="F2348" s="2">
        <v>0.22098145999999999</v>
      </c>
    </row>
    <row r="2349" spans="1:6" x14ac:dyDescent="0.25">
      <c r="A2349" t="s">
        <v>6</v>
      </c>
      <c r="B2349" s="5" t="str">
        <f>HYPERLINK("http://www.broadinstitute.org/gsea/msigdb/cards/GOBP_3_UTR_MEDIATED_MRNA_DESTABILIZATION.html","GOBP_3_UTR_MEDIATED_MRNA_DESTABILIZATION")</f>
        <v>GOBP_3_UTR_MEDIATED_MRNA_DESTABILIZATION</v>
      </c>
      <c r="C2349" s="4">
        <v>16</v>
      </c>
      <c r="D2349" s="3">
        <v>1.2693574000000001</v>
      </c>
      <c r="E2349" s="1">
        <v>0.16725351999999999</v>
      </c>
      <c r="F2349" s="2">
        <v>0.22100032999999999</v>
      </c>
    </row>
    <row r="2350" spans="1:6" x14ac:dyDescent="0.25">
      <c r="A2350" t="s">
        <v>7</v>
      </c>
      <c r="B2350" s="5" t="str">
        <f>HYPERLINK("http://www.broadinstitute.org/gsea/msigdb/cards/GOCC_VESICLE_TETHERING_COMPLEX.html","GOCC_VESICLE_TETHERING_COMPLEX")</f>
        <v>GOCC_VESICLE_TETHERING_COMPLEX</v>
      </c>
      <c r="C2350" s="4">
        <v>67</v>
      </c>
      <c r="D2350" s="3">
        <v>1.2691486000000001</v>
      </c>
      <c r="E2350" s="1">
        <v>0.10312499999999999</v>
      </c>
      <c r="F2350" s="2">
        <v>0.22117223</v>
      </c>
    </row>
    <row r="2351" spans="1:6" x14ac:dyDescent="0.25">
      <c r="A2351" t="s">
        <v>8</v>
      </c>
      <c r="B2351" s="5" t="str">
        <f>HYPERLINK("http://www.broadinstitute.org/gsea/msigdb/cards/GOMF_OXIDOREDUCTASE_ACTIVITY_ACTING_ON_THE_ALDEHYDE_OR_OXO_GROUP_OF_DONORS.html","GOMF_OXIDOREDUCTASE_ACTIVITY_ACTING_ON_THE_ALDEHYDE_OR_OXO_GROUP_OF_DONORS")</f>
        <v>GOMF_OXIDOREDUCTASE_ACTIVITY_ACTING_ON_THE_ALDEHYDE_OR_OXO_GROUP_OF_DONORS</v>
      </c>
      <c r="C2351" s="4">
        <v>64</v>
      </c>
      <c r="D2351" s="3">
        <v>1.2688550000000001</v>
      </c>
      <c r="E2351" s="1">
        <v>0.10697675</v>
      </c>
      <c r="F2351" s="2">
        <v>0.22147201999999999</v>
      </c>
    </row>
    <row r="2352" spans="1:6" x14ac:dyDescent="0.25">
      <c r="A2352" t="s">
        <v>9</v>
      </c>
      <c r="B2352" s="5" t="str">
        <f>HYPERLINK("http://www.broadinstitute.org/gsea/msigdb/cards/HALLMARK_UNFOLDED_PROTEIN_RESPONSE.html","HALLMARK_UNFOLDED_PROTEIN_RESPONSE")</f>
        <v>HALLMARK_UNFOLDED_PROTEIN_RESPONSE</v>
      </c>
      <c r="C2352" s="4">
        <v>110</v>
      </c>
      <c r="D2352" s="3">
        <v>1.2688303999999999</v>
      </c>
      <c r="E2352" s="1">
        <v>8.16944E-2</v>
      </c>
      <c r="F2352" s="2">
        <v>0.22140913000000001</v>
      </c>
    </row>
    <row r="2353" spans="1:6" x14ac:dyDescent="0.25">
      <c r="A2353" t="s">
        <v>6</v>
      </c>
      <c r="B2353" s="5" t="str">
        <f>HYPERLINK("http://www.broadinstitute.org/gsea/msigdb/cards/GOBP_AMINO_SUGAR_METABOLIC_PROCESS.html","GOBP_AMINO_SUGAR_METABOLIC_PROCESS")</f>
        <v>GOBP_AMINO_SUGAR_METABOLIC_PROCESS</v>
      </c>
      <c r="C2353" s="4">
        <v>46</v>
      </c>
      <c r="D2353" s="3">
        <v>1.2686428000000001</v>
      </c>
      <c r="E2353" s="1">
        <v>0.12803890000000001</v>
      </c>
      <c r="F2353" s="2">
        <v>0.22155936000000001</v>
      </c>
    </row>
    <row r="2354" spans="1:6" x14ac:dyDescent="0.25">
      <c r="A2354" t="s">
        <v>6</v>
      </c>
      <c r="B2354" s="5" t="str">
        <f>HYPERLINK("http://www.broadinstitute.org/gsea/msigdb/cards/GOBP_NEGATIVE_REGULATION_OF_LIPID_CATABOLIC_PROCESS.html","GOBP_NEGATIVE_REGULATION_OF_LIPID_CATABOLIC_PROCESS")</f>
        <v>GOBP_NEGATIVE_REGULATION_OF_LIPID_CATABOLIC_PROCESS</v>
      </c>
      <c r="C2354" s="4">
        <v>29</v>
      </c>
      <c r="D2354" s="3">
        <v>1.2686223999999999</v>
      </c>
      <c r="E2354" s="1">
        <v>0.14858097000000001</v>
      </c>
      <c r="F2354" s="2">
        <v>0.22148946</v>
      </c>
    </row>
    <row r="2355" spans="1:6" x14ac:dyDescent="0.25">
      <c r="A2355" t="s">
        <v>7</v>
      </c>
      <c r="B2355" s="5" t="str">
        <f>HYPERLINK("http://www.broadinstitute.org/gsea/msigdb/cards/GOCC_NUCLEAR_ENVELOPE.html","GOCC_NUCLEAR_ENVELOPE")</f>
        <v>GOCC_NUCLEAR_ENVELOPE</v>
      </c>
      <c r="C2355" s="4">
        <v>436</v>
      </c>
      <c r="D2355" s="3">
        <v>1.2681172999999999</v>
      </c>
      <c r="E2355" s="1">
        <v>2.1907216E-2</v>
      </c>
      <c r="F2355" s="2">
        <v>0.22209256999999999</v>
      </c>
    </row>
    <row r="2356" spans="1:6" x14ac:dyDescent="0.25">
      <c r="A2356" t="s">
        <v>6</v>
      </c>
      <c r="B2356" s="5" t="str">
        <f>HYPERLINK("http://www.broadinstitute.org/gsea/msigdb/cards/GOBP_REGULATION_OF_LIPOPROTEIN_PARTICLE_CLEARANCE.html","GOBP_REGULATION_OF_LIPOPROTEIN_PARTICLE_CLEARANCE")</f>
        <v>GOBP_REGULATION_OF_LIPOPROTEIN_PARTICLE_CLEARANCE</v>
      </c>
      <c r="C2356" s="4">
        <v>22</v>
      </c>
      <c r="D2356" s="3">
        <v>1.2681051000000001</v>
      </c>
      <c r="E2356" s="1">
        <v>0.1609756</v>
      </c>
      <c r="F2356" s="2">
        <v>0.2220097</v>
      </c>
    </row>
    <row r="2357" spans="1:6" x14ac:dyDescent="0.25">
      <c r="A2357" t="s">
        <v>6</v>
      </c>
      <c r="B2357" s="5" t="str">
        <f>HYPERLINK("http://www.broadinstitute.org/gsea/msigdb/cards/GOBP_TORC2_SIGNALING.html","GOBP_TORC2_SIGNALING")</f>
        <v>GOBP_TORC2_SIGNALING</v>
      </c>
      <c r="C2357" s="4">
        <v>16</v>
      </c>
      <c r="D2357" s="3">
        <v>1.2679625000000001</v>
      </c>
      <c r="E2357" s="1">
        <v>0.17107584000000001</v>
      </c>
      <c r="F2357" s="2">
        <v>0.22210193</v>
      </c>
    </row>
    <row r="2358" spans="1:6" x14ac:dyDescent="0.25">
      <c r="A2358" t="s">
        <v>6</v>
      </c>
      <c r="B2358" s="5" t="str">
        <f>HYPERLINK("http://www.broadinstitute.org/gsea/msigdb/cards/GOBP_GAMMA_DELTA_T_CELL_ACTIVATION.html","GOBP_GAMMA_DELTA_T_CELL_ACTIVATION")</f>
        <v>GOBP_GAMMA_DELTA_T_CELL_ACTIVATION</v>
      </c>
      <c r="C2358" s="4">
        <v>22</v>
      </c>
      <c r="D2358" s="3">
        <v>1.2676974999999999</v>
      </c>
      <c r="E2358" s="1">
        <v>0.14778325</v>
      </c>
      <c r="F2358" s="2">
        <v>0.22238327999999999</v>
      </c>
    </row>
    <row r="2359" spans="1:6" x14ac:dyDescent="0.25">
      <c r="A2359" t="s">
        <v>7</v>
      </c>
      <c r="B2359" s="5" t="str">
        <f>HYPERLINK("http://www.broadinstitute.org/gsea/msigdb/cards/GOCC_LEADING_EDGE_MEMBRANE.html","GOCC_LEADING_EDGE_MEMBRANE")</f>
        <v>GOCC_LEADING_EDGE_MEMBRANE</v>
      </c>
      <c r="C2359" s="4">
        <v>157</v>
      </c>
      <c r="D2359" s="3">
        <v>1.2676508</v>
      </c>
      <c r="E2359" s="1">
        <v>7.7941179999999999E-2</v>
      </c>
      <c r="F2359" s="2">
        <v>0.22234645</v>
      </c>
    </row>
    <row r="2360" spans="1:6" x14ac:dyDescent="0.25">
      <c r="A2360" t="s">
        <v>6</v>
      </c>
      <c r="B2360" s="5" t="str">
        <f>HYPERLINK("http://www.broadinstitute.org/gsea/msigdb/cards/GOBP_POSITIVE_REGULATION_OF_MONOATOMIC_ION_TRANSMEMBRANE_TRANSPORT.html","GOBP_POSITIVE_REGULATION_OF_MONOATOMIC_ION_TRANSMEMBRANE_TRANSPORT")</f>
        <v>GOBP_POSITIVE_REGULATION_OF_MONOATOMIC_ION_TRANSMEMBRANE_TRANSPORT</v>
      </c>
      <c r="C2360" s="4">
        <v>203</v>
      </c>
      <c r="D2360" s="3">
        <v>1.2676210000000001</v>
      </c>
      <c r="E2360" s="1">
        <v>4.2674255000000001E-2</v>
      </c>
      <c r="F2360" s="2">
        <v>0.22229663</v>
      </c>
    </row>
    <row r="2361" spans="1:6" x14ac:dyDescent="0.25">
      <c r="A2361" t="s">
        <v>6</v>
      </c>
      <c r="B2361" s="5" t="str">
        <f>HYPERLINK("http://www.broadinstitute.org/gsea/msigdb/cards/GOBP_G_PROTEIN_COUPLED_RECEPTOR_SIGNALING_PATHWAY_COUPLED_TO_CYCLIC_NUCLEOTIDE_SECOND_MESSENGER.html","GOBP_G_PROTEIN_COUPLED_RECEPTOR_SIGNALING_PATHWAY_COUPLED_TO_CYCLIC_NUCLEOTIDE_SECOND_MESSENGER")</f>
        <v>GOBP_G_PROTEIN_COUPLED_RECEPTOR_SIGNALING_PATHWAY_COUPLED_TO_CYCLIC_NUCLEOTIDE_SECOND_MESSENGER</v>
      </c>
      <c r="C2361" s="4">
        <v>33</v>
      </c>
      <c r="D2361" s="3">
        <v>1.2673266000000001</v>
      </c>
      <c r="E2361" s="1">
        <v>0.12969284</v>
      </c>
      <c r="F2361" s="2">
        <v>0.22259999999999999</v>
      </c>
    </row>
    <row r="2362" spans="1:6" x14ac:dyDescent="0.25">
      <c r="A2362" t="s">
        <v>6</v>
      </c>
      <c r="B2362" s="5" t="str">
        <f>HYPERLINK("http://www.broadinstitute.org/gsea/msigdb/cards/GOBP_STEROL_TRANSPORT.html","GOBP_STEROL_TRANSPORT")</f>
        <v>GOBP_STEROL_TRANSPORT</v>
      </c>
      <c r="C2362" s="4">
        <v>121</v>
      </c>
      <c r="D2362" s="3">
        <v>1.2672985000000001</v>
      </c>
      <c r="E2362" s="1">
        <v>7.5110460000000004E-2</v>
      </c>
      <c r="F2362" s="2">
        <v>0.22253593999999999</v>
      </c>
    </row>
    <row r="2363" spans="1:6" x14ac:dyDescent="0.25">
      <c r="A2363" t="s">
        <v>6</v>
      </c>
      <c r="B2363" s="5" t="str">
        <f>HYPERLINK("http://www.broadinstitute.org/gsea/msigdb/cards/GOBP_FORMATION_OF_PRIMARY_GERM_LAYER.html","GOBP_FORMATION_OF_PRIMARY_GERM_LAYER")</f>
        <v>GOBP_FORMATION_OF_PRIMARY_GERM_LAYER</v>
      </c>
      <c r="C2363" s="4">
        <v>105</v>
      </c>
      <c r="D2363" s="3">
        <v>1.2670676999999999</v>
      </c>
      <c r="E2363" s="1">
        <v>8.4529504000000005E-2</v>
      </c>
      <c r="F2363" s="2">
        <v>0.22274962000000001</v>
      </c>
    </row>
    <row r="2364" spans="1:6" x14ac:dyDescent="0.25">
      <c r="A2364" t="s">
        <v>6</v>
      </c>
      <c r="B2364" s="5" t="str">
        <f>HYPERLINK("http://www.broadinstitute.org/gsea/msigdb/cards/GOBP_NEGATIVE_REGULATION_OF_INTRINSIC_APOPTOTIC_SIGNALING_PATHWAY.html","GOBP_NEGATIVE_REGULATION_OF_INTRINSIC_APOPTOTIC_SIGNALING_PATHWAY")</f>
        <v>GOBP_NEGATIVE_REGULATION_OF_INTRINSIC_APOPTOTIC_SIGNALING_PATHWAY</v>
      </c>
      <c r="C2364" s="4">
        <v>108</v>
      </c>
      <c r="D2364" s="3">
        <v>1.2667842</v>
      </c>
      <c r="E2364" s="1">
        <v>0.08</v>
      </c>
      <c r="F2364" s="2">
        <v>0.22303686</v>
      </c>
    </row>
    <row r="2365" spans="1:6" x14ac:dyDescent="0.25">
      <c r="A2365" t="s">
        <v>6</v>
      </c>
      <c r="B2365" s="5" t="str">
        <f>HYPERLINK("http://www.broadinstitute.org/gsea/msigdb/cards/GOBP_NEGATIVE_REGULATION_OF_PROTEIN_LOCALIZATION_TO_MEMBRANE.html","GOBP_NEGATIVE_REGULATION_OF_PROTEIN_LOCALIZATION_TO_MEMBRANE")</f>
        <v>GOBP_NEGATIVE_REGULATION_OF_PROTEIN_LOCALIZATION_TO_MEMBRANE</v>
      </c>
      <c r="C2365" s="4">
        <v>37</v>
      </c>
      <c r="D2365" s="3">
        <v>1.2662826</v>
      </c>
      <c r="E2365" s="1">
        <v>0.15126050999999999</v>
      </c>
      <c r="F2365" s="2">
        <v>0.22361006999999999</v>
      </c>
    </row>
    <row r="2366" spans="1:6" x14ac:dyDescent="0.25">
      <c r="A2366" t="s">
        <v>6</v>
      </c>
      <c r="B2366" s="5" t="str">
        <f>HYPERLINK("http://www.broadinstitute.org/gsea/msigdb/cards/GOBP_MITOTIC_CYTOKINETIC_PROCESS.html","GOBP_MITOTIC_CYTOKINETIC_PROCESS")</f>
        <v>GOBP_MITOTIC_CYTOKINETIC_PROCESS</v>
      </c>
      <c r="C2366" s="4">
        <v>25</v>
      </c>
      <c r="D2366" s="3">
        <v>1.2655190999999999</v>
      </c>
      <c r="E2366" s="1">
        <v>0.16156462999999999</v>
      </c>
      <c r="F2366" s="2">
        <v>0.22455859</v>
      </c>
    </row>
    <row r="2367" spans="1:6" x14ac:dyDescent="0.25">
      <c r="A2367" t="s">
        <v>6</v>
      </c>
      <c r="B2367" s="5" t="str">
        <f>HYPERLINK("http://www.broadinstitute.org/gsea/msigdb/cards/GOBP_PROTEIN_K63_LINKED_UBIQUITINATION.html","GOBP_PROTEIN_K63_LINKED_UBIQUITINATION")</f>
        <v>GOBP_PROTEIN_K63_LINKED_UBIQUITINATION</v>
      </c>
      <c r="C2367" s="4">
        <v>61</v>
      </c>
      <c r="D2367" s="3">
        <v>1.2655019999999999</v>
      </c>
      <c r="E2367" s="1">
        <v>0.11128527000000001</v>
      </c>
      <c r="F2367" s="2">
        <v>0.22449698000000001</v>
      </c>
    </row>
    <row r="2368" spans="1:6" x14ac:dyDescent="0.25">
      <c r="A2368" t="s">
        <v>5</v>
      </c>
      <c r="B2368" s="5" t="str">
        <f>HYPERLINK("http://www.broadinstitute.org/gsea/msigdb/cards/BIOCARTA_CERAMIDE_PATHWAY.html","BIOCARTA_CERAMIDE_PATHWAY")</f>
        <v>BIOCARTA_CERAMIDE_PATHWAY</v>
      </c>
      <c r="C2368" s="4">
        <v>22</v>
      </c>
      <c r="D2368" s="3">
        <v>1.2652810999999999</v>
      </c>
      <c r="E2368" s="1">
        <v>0.15979381000000001</v>
      </c>
      <c r="F2368" s="2">
        <v>0.22471530000000001</v>
      </c>
    </row>
    <row r="2369" spans="1:6" x14ac:dyDescent="0.25">
      <c r="A2369" t="s">
        <v>6</v>
      </c>
      <c r="B2369" s="5" t="str">
        <f>HYPERLINK("http://www.broadinstitute.org/gsea/msigdb/cards/GOBP_POSITIVE_REGULATION_OF_NEURON_PROJECTION_REGENERATION.html","GOBP_POSITIVE_REGULATION_OF_NEURON_PROJECTION_REGENERATION")</f>
        <v>GOBP_POSITIVE_REGULATION_OF_NEURON_PROJECTION_REGENERATION</v>
      </c>
      <c r="C2369" s="4">
        <v>15</v>
      </c>
      <c r="D2369" s="3">
        <v>1.2651151</v>
      </c>
      <c r="E2369" s="1">
        <v>0.17406749999999999</v>
      </c>
      <c r="F2369" s="2">
        <v>0.22484857</v>
      </c>
    </row>
    <row r="2370" spans="1:6" x14ac:dyDescent="0.25">
      <c r="A2370" t="s">
        <v>10</v>
      </c>
      <c r="B2370" s="5" t="str">
        <f>HYPERLINK("http://www.broadinstitute.org/gsea/msigdb/cards/REACTOME_REGULATION_OF_SIGNALING_BY_CBL.html","REACTOME_REGULATION_OF_SIGNALING_BY_CBL")</f>
        <v>REACTOME_REGULATION_OF_SIGNALING_BY_CBL</v>
      </c>
      <c r="C2370" s="4">
        <v>21</v>
      </c>
      <c r="D2370" s="3">
        <v>1.2649893999999999</v>
      </c>
      <c r="E2370" s="1">
        <v>0.16258742000000001</v>
      </c>
      <c r="F2370" s="2">
        <v>0.224916</v>
      </c>
    </row>
    <row r="2371" spans="1:6" x14ac:dyDescent="0.25">
      <c r="A2371" t="s">
        <v>6</v>
      </c>
      <c r="B2371" s="5" t="str">
        <f>HYPERLINK("http://www.broadinstitute.org/gsea/msigdb/cards/GOBP_MAINTENANCE_OF_GASTROINTESTINAL_EPITHELIUM.html","GOBP_MAINTENANCE_OF_GASTROINTESTINAL_EPITHELIUM")</f>
        <v>GOBP_MAINTENANCE_OF_GASTROINTESTINAL_EPITHELIUM</v>
      </c>
      <c r="C2371" s="4">
        <v>20</v>
      </c>
      <c r="D2371" s="3">
        <v>1.2649760000000001</v>
      </c>
      <c r="E2371" s="1">
        <v>0.16550523</v>
      </c>
      <c r="F2371" s="2">
        <v>0.22484199999999999</v>
      </c>
    </row>
    <row r="2372" spans="1:6" x14ac:dyDescent="0.25">
      <c r="A2372" t="s">
        <v>10</v>
      </c>
      <c r="B2372" s="5" t="str">
        <f>HYPERLINK("http://www.broadinstitute.org/gsea/msigdb/cards/REACTOME_SIGNALING_BY_ERBB2.html","REACTOME_SIGNALING_BY_ERBB2")</f>
        <v>REACTOME_SIGNALING_BY_ERBB2</v>
      </c>
      <c r="C2372" s="4">
        <v>44</v>
      </c>
      <c r="D2372" s="3">
        <v>1.2642369</v>
      </c>
      <c r="E2372" s="1">
        <v>0.12919463</v>
      </c>
      <c r="F2372" s="2">
        <v>0.22575065</v>
      </c>
    </row>
    <row r="2373" spans="1:6" x14ac:dyDescent="0.25">
      <c r="A2373" t="s">
        <v>6</v>
      </c>
      <c r="B2373" s="5" t="str">
        <f>HYPERLINK("http://www.broadinstitute.org/gsea/msigdb/cards/GOBP_STRIATED_MUSCLE_CELL_APOPTOTIC_PROCESS.html","GOBP_STRIATED_MUSCLE_CELL_APOPTOTIC_PROCESS")</f>
        <v>GOBP_STRIATED_MUSCLE_CELL_APOPTOTIC_PROCESS</v>
      </c>
      <c r="C2373" s="4">
        <v>73</v>
      </c>
      <c r="D2373" s="3">
        <v>1.263933</v>
      </c>
      <c r="E2373" s="1">
        <v>0.108024694</v>
      </c>
      <c r="F2373" s="2">
        <v>0.22605333999999999</v>
      </c>
    </row>
    <row r="2374" spans="1:6" x14ac:dyDescent="0.25">
      <c r="A2374" t="s">
        <v>6</v>
      </c>
      <c r="B2374" s="5" t="str">
        <f>HYPERLINK("http://www.broadinstitute.org/gsea/msigdb/cards/GOBP_CELL_COMMUNICATION_INVOLVED_IN_CARDIAC_CONDUCTION.html","GOBP_CELL_COMMUNICATION_INVOLVED_IN_CARDIAC_CONDUCTION")</f>
        <v>GOBP_CELL_COMMUNICATION_INVOLVED_IN_CARDIAC_CONDUCTION</v>
      </c>
      <c r="C2374" s="4">
        <v>40</v>
      </c>
      <c r="D2374" s="3">
        <v>1.2632535</v>
      </c>
      <c r="E2374" s="1">
        <v>0.13782051000000001</v>
      </c>
      <c r="F2374" s="2">
        <v>0.22683867999999999</v>
      </c>
    </row>
    <row r="2375" spans="1:6" x14ac:dyDescent="0.25">
      <c r="A2375" t="s">
        <v>6</v>
      </c>
      <c r="B2375" s="5" t="str">
        <f>HYPERLINK("http://www.broadinstitute.org/gsea/msigdb/cards/GOBP_REGULATION_OF_OSSIFICATION.html","GOBP_REGULATION_OF_OSSIFICATION")</f>
        <v>GOBP_REGULATION_OF_OSSIFICATION</v>
      </c>
      <c r="C2375" s="4">
        <v>140</v>
      </c>
      <c r="D2375" s="3">
        <v>1.2626697</v>
      </c>
      <c r="E2375" s="1">
        <v>8.5074626E-2</v>
      </c>
      <c r="F2375" s="2">
        <v>0.22751361000000001</v>
      </c>
    </row>
    <row r="2376" spans="1:6" x14ac:dyDescent="0.25">
      <c r="A2376" t="s">
        <v>6</v>
      </c>
      <c r="B2376" s="5" t="str">
        <f>HYPERLINK("http://www.broadinstitute.org/gsea/msigdb/cards/GOBP_NEGATIVE_REGULATION_OF_RECEPTOR_MEDIATED_ENDOCYTOSIS.html","GOBP_NEGATIVE_REGULATION_OF_RECEPTOR_MEDIATED_ENDOCYTOSIS")</f>
        <v>GOBP_NEGATIVE_REGULATION_OF_RECEPTOR_MEDIATED_ENDOCYTOSIS</v>
      </c>
      <c r="C2376" s="4">
        <v>29</v>
      </c>
      <c r="D2376" s="3">
        <v>1.2626302</v>
      </c>
      <c r="E2376" s="1">
        <v>0.15472311999999999</v>
      </c>
      <c r="F2376" s="2">
        <v>0.22746797999999999</v>
      </c>
    </row>
    <row r="2377" spans="1:6" x14ac:dyDescent="0.25">
      <c r="A2377" t="s">
        <v>6</v>
      </c>
      <c r="B2377" s="5" t="str">
        <f>HYPERLINK("http://www.broadinstitute.org/gsea/msigdb/cards/GOBP_NEURON_PROJECTION_EXTENSION_INVOLVED_IN_NEURON_PROJECTION_GUIDANCE.html","GOBP_NEURON_PROJECTION_EXTENSION_INVOLVED_IN_NEURON_PROJECTION_GUIDANCE")</f>
        <v>GOBP_NEURON_PROJECTION_EXTENSION_INVOLVED_IN_NEURON_PROJECTION_GUIDANCE</v>
      </c>
      <c r="C2377" s="4">
        <v>36</v>
      </c>
      <c r="D2377" s="3">
        <v>1.2625607999999999</v>
      </c>
      <c r="E2377" s="1">
        <v>0.13787374999999999</v>
      </c>
      <c r="F2377" s="2">
        <v>0.22746464999999999</v>
      </c>
    </row>
    <row r="2378" spans="1:6" x14ac:dyDescent="0.25">
      <c r="A2378" t="s">
        <v>5</v>
      </c>
      <c r="B2378" s="5" t="str">
        <f>HYPERLINK("http://www.broadinstitute.org/gsea/msigdb/cards/BIOCARTA_PYK2_PATHWAY.html","BIOCARTA_PYK2_PATHWAY")</f>
        <v>BIOCARTA_PYK2_PATHWAY</v>
      </c>
      <c r="C2378" s="4">
        <v>25</v>
      </c>
      <c r="D2378" s="3">
        <v>1.2621937000000001</v>
      </c>
      <c r="E2378" s="1">
        <v>0.15224913000000001</v>
      </c>
      <c r="F2378" s="2">
        <v>0.22787882000000001</v>
      </c>
    </row>
    <row r="2379" spans="1:6" x14ac:dyDescent="0.25">
      <c r="A2379" t="s">
        <v>10</v>
      </c>
      <c r="B2379" s="5" t="str">
        <f>HYPERLINK("http://www.broadinstitute.org/gsea/msigdb/cards/REACTOME_VXPX_CARGO_TARGETING_TO_CILIUM.html","REACTOME_VXPX_CARGO_TARGETING_TO_CILIUM")</f>
        <v>REACTOME_VXPX_CARGO_TARGETING_TO_CILIUM</v>
      </c>
      <c r="C2379" s="4">
        <v>20</v>
      </c>
      <c r="D2379" s="3">
        <v>1.2614375</v>
      </c>
      <c r="E2379" s="1">
        <v>0.16928446</v>
      </c>
      <c r="F2379" s="2">
        <v>0.22880755</v>
      </c>
    </row>
    <row r="2380" spans="1:6" x14ac:dyDescent="0.25">
      <c r="A2380" t="s">
        <v>6</v>
      </c>
      <c r="B2380" s="5" t="str">
        <f>HYPERLINK("http://www.broadinstitute.org/gsea/msigdb/cards/GOBP_REGULATION_OF_CELL_PROJECTION_ASSEMBLY.html","GOBP_REGULATION_OF_CELL_PROJECTION_ASSEMBLY")</f>
        <v>GOBP_REGULATION_OF_CELL_PROJECTION_ASSEMBLY</v>
      </c>
      <c r="C2380" s="4">
        <v>206</v>
      </c>
      <c r="D2380" s="3">
        <v>1.2610711999999999</v>
      </c>
      <c r="E2380" s="1">
        <v>4.2089983999999997E-2</v>
      </c>
      <c r="F2380" s="2">
        <v>0.22920768</v>
      </c>
    </row>
    <row r="2381" spans="1:6" x14ac:dyDescent="0.25">
      <c r="A2381" t="s">
        <v>10</v>
      </c>
      <c r="B2381" s="5" t="str">
        <f>HYPERLINK("http://www.broadinstitute.org/gsea/msigdb/cards/REACTOME_ROS_AND_RNS_PRODUCTION_IN_PHAGOCYTES.html","REACTOME_ROS_AND_RNS_PRODUCTION_IN_PHAGOCYTES")</f>
        <v>REACTOME_ROS_AND_RNS_PRODUCTION_IN_PHAGOCYTES</v>
      </c>
      <c r="C2381" s="4">
        <v>35</v>
      </c>
      <c r="D2381" s="3">
        <v>1.2610527</v>
      </c>
      <c r="E2381" s="1">
        <v>0.16329966000000001</v>
      </c>
      <c r="F2381" s="2">
        <v>0.22913995000000001</v>
      </c>
    </row>
    <row r="2382" spans="1:6" x14ac:dyDescent="0.25">
      <c r="A2382" t="s">
        <v>6</v>
      </c>
      <c r="B2382" s="5" t="str">
        <f>HYPERLINK("http://www.broadinstitute.org/gsea/msigdb/cards/GOBP_VASCULAR_ASSOCIATED_SMOOTH_MUSCLE_CELL_PROLIFERATION.html","GOBP_VASCULAR_ASSOCIATED_SMOOTH_MUSCLE_CELL_PROLIFERATION")</f>
        <v>GOBP_VASCULAR_ASSOCIATED_SMOOTH_MUSCLE_CELL_PROLIFERATION</v>
      </c>
      <c r="C2382" s="4">
        <v>80</v>
      </c>
      <c r="D2382" s="3">
        <v>1.2607782999999999</v>
      </c>
      <c r="E2382" s="1">
        <v>0.11111111</v>
      </c>
      <c r="F2382" s="2">
        <v>0.22943346000000001</v>
      </c>
    </row>
    <row r="2383" spans="1:6" x14ac:dyDescent="0.25">
      <c r="A2383" t="s">
        <v>8</v>
      </c>
      <c r="B2383" s="5" t="str">
        <f>HYPERLINK("http://www.broadinstitute.org/gsea/msigdb/cards/GOMF_UBIQUITIN_LIKE_PROTEIN_LIGASE_ACTIVITY.html","GOMF_UBIQUITIN_LIKE_PROTEIN_LIGASE_ACTIVITY")</f>
        <v>GOMF_UBIQUITIN_LIKE_PROTEIN_LIGASE_ACTIVITY</v>
      </c>
      <c r="C2383" s="4">
        <v>345</v>
      </c>
      <c r="D2383" s="3">
        <v>1.2604873000000001</v>
      </c>
      <c r="E2383" s="1">
        <v>3.27654E-2</v>
      </c>
      <c r="F2383" s="2">
        <v>0.22972110000000001</v>
      </c>
    </row>
    <row r="2384" spans="1:6" x14ac:dyDescent="0.25">
      <c r="A2384" t="s">
        <v>8</v>
      </c>
      <c r="B2384" s="5" t="str">
        <f>HYPERLINK("http://www.broadinstitute.org/gsea/msigdb/cards/GOMF_METALLOEXOPEPTIDASE_ACTIVITY.html","GOMF_METALLOEXOPEPTIDASE_ACTIVITY")</f>
        <v>GOMF_METALLOEXOPEPTIDASE_ACTIVITY</v>
      </c>
      <c r="C2384" s="4">
        <v>59</v>
      </c>
      <c r="D2384" s="3">
        <v>1.2603067999999999</v>
      </c>
      <c r="E2384" s="1">
        <v>0.11961722399999999</v>
      </c>
      <c r="F2384" s="2">
        <v>0.22986743000000001</v>
      </c>
    </row>
    <row r="2385" spans="1:6" x14ac:dyDescent="0.25">
      <c r="A2385" t="s">
        <v>6</v>
      </c>
      <c r="B2385" s="5" t="str">
        <f>HYPERLINK("http://www.broadinstitute.org/gsea/msigdb/cards/GOBP_REGULATION_OF_MONOATOMIC_ION_TRANSMEMBRANE_TRANSPORT.html","GOBP_REGULATION_OF_MONOATOMIC_ION_TRANSMEMBRANE_TRANSPORT")</f>
        <v>GOBP_REGULATION_OF_MONOATOMIC_ION_TRANSMEMBRANE_TRANSPORT</v>
      </c>
      <c r="C2385" s="4">
        <v>478</v>
      </c>
      <c r="D2385" s="3">
        <v>1.2598284</v>
      </c>
      <c r="E2385" s="1">
        <v>2.2842640000000001E-2</v>
      </c>
      <c r="F2385" s="2">
        <v>0.23043147999999999</v>
      </c>
    </row>
    <row r="2386" spans="1:6" x14ac:dyDescent="0.25">
      <c r="A2386" t="s">
        <v>8</v>
      </c>
      <c r="B2386" s="5" t="str">
        <f>HYPERLINK("http://www.broadinstitute.org/gsea/msigdb/cards/GOMF_SNARE_BINDING.html","GOMF_SNARE_BINDING")</f>
        <v>GOMF_SNARE_BINDING</v>
      </c>
      <c r="C2386" s="4">
        <v>116</v>
      </c>
      <c r="D2386" s="3">
        <v>1.2596186</v>
      </c>
      <c r="E2386" s="1">
        <v>8.3457530000000002E-2</v>
      </c>
      <c r="F2386" s="2">
        <v>0.23063665999999999</v>
      </c>
    </row>
    <row r="2387" spans="1:6" x14ac:dyDescent="0.25">
      <c r="A2387" t="s">
        <v>10</v>
      </c>
      <c r="B2387" s="5" t="str">
        <f>HYPERLINK("http://www.broadinstitute.org/gsea/msigdb/cards/REACTOME_INTERLEUKIN_1_FAMILY_SIGNALING.html","REACTOME_INTERLEUKIN_1_FAMILY_SIGNALING")</f>
        <v>REACTOME_INTERLEUKIN_1_FAMILY_SIGNALING</v>
      </c>
      <c r="C2387" s="4">
        <v>118</v>
      </c>
      <c r="D2387" s="3">
        <v>1.2595159</v>
      </c>
      <c r="E2387" s="1">
        <v>0.08</v>
      </c>
      <c r="F2387" s="2">
        <v>0.23067808000000001</v>
      </c>
    </row>
    <row r="2388" spans="1:6" x14ac:dyDescent="0.25">
      <c r="A2388" t="s">
        <v>11</v>
      </c>
      <c r="B2388" s="5" t="str">
        <f>HYPERLINK("http://www.broadinstitute.org/gsea/msigdb/cards/WP_GPCRS_PEPTIDE.html","WP_GPCRS_PEPTIDE")</f>
        <v>WP_GPCRS_PEPTIDE</v>
      </c>
      <c r="C2388" s="4">
        <v>68</v>
      </c>
      <c r="D2388" s="3">
        <v>1.2594190000000001</v>
      </c>
      <c r="E2388" s="1">
        <v>0.10200669</v>
      </c>
      <c r="F2388" s="2">
        <v>0.23071721000000001</v>
      </c>
    </row>
    <row r="2389" spans="1:6" x14ac:dyDescent="0.25">
      <c r="A2389" t="s">
        <v>11</v>
      </c>
      <c r="B2389" s="5" t="str">
        <f>HYPERLINK("http://www.broadinstitute.org/gsea/msigdb/cards/WP_TRYPTOPHAN_METABOLISM.html","WP_TRYPTOPHAN_METABOLISM")</f>
        <v>WP_TRYPTOPHAN_METABOLISM</v>
      </c>
      <c r="C2389" s="4">
        <v>43</v>
      </c>
      <c r="D2389" s="3">
        <v>1.2590424</v>
      </c>
      <c r="E2389" s="1">
        <v>0.12682926999999999</v>
      </c>
      <c r="F2389" s="2">
        <v>0.23112895999999999</v>
      </c>
    </row>
    <row r="2390" spans="1:6" x14ac:dyDescent="0.25">
      <c r="A2390" t="s">
        <v>6</v>
      </c>
      <c r="B2390" s="5" t="str">
        <f>HYPERLINK("http://www.broadinstitute.org/gsea/msigdb/cards/GOBP_MONOATOMIC_ANION_TRANSPORT.html","GOBP_MONOATOMIC_ANION_TRANSPORT")</f>
        <v>GOBP_MONOATOMIC_ANION_TRANSPORT</v>
      </c>
      <c r="C2390" s="4">
        <v>150</v>
      </c>
      <c r="D2390" s="3">
        <v>1.2589144999999999</v>
      </c>
      <c r="E2390" s="1">
        <v>6.4610870000000001E-2</v>
      </c>
      <c r="F2390" s="2">
        <v>0.23119505000000001</v>
      </c>
    </row>
    <row r="2391" spans="1:6" x14ac:dyDescent="0.25">
      <c r="A2391" t="s">
        <v>6</v>
      </c>
      <c r="B2391" s="5" t="str">
        <f>HYPERLINK("http://www.broadinstitute.org/gsea/msigdb/cards/GOBP_GLUTAMINE_METABOLIC_PROCESS.html","GOBP_GLUTAMINE_METABOLIC_PROCESS")</f>
        <v>GOBP_GLUTAMINE_METABOLIC_PROCESS</v>
      </c>
      <c r="C2391" s="4">
        <v>22</v>
      </c>
      <c r="D2391" s="3">
        <v>1.2587922</v>
      </c>
      <c r="E2391" s="1">
        <v>0.16040955000000001</v>
      </c>
      <c r="F2391" s="2">
        <v>0.23125100000000001</v>
      </c>
    </row>
    <row r="2392" spans="1:6" x14ac:dyDescent="0.25">
      <c r="A2392" t="s">
        <v>6</v>
      </c>
      <c r="B2392" s="5" t="str">
        <f>HYPERLINK("http://www.broadinstitute.org/gsea/msigdb/cards/GOBP_POSITIVE_REGULATION_OF_ORGANIC_ACID_TRANSPORT.html","GOBP_POSITIVE_REGULATION_OF_ORGANIC_ACID_TRANSPORT")</f>
        <v>GOBP_POSITIVE_REGULATION_OF_ORGANIC_ACID_TRANSPORT</v>
      </c>
      <c r="C2392" s="4">
        <v>59</v>
      </c>
      <c r="D2392" s="3">
        <v>1.2587862999999999</v>
      </c>
      <c r="E2392" s="1">
        <v>0.1028481</v>
      </c>
      <c r="F2392" s="2">
        <v>0.23116413999999999</v>
      </c>
    </row>
    <row r="2393" spans="1:6" x14ac:dyDescent="0.25">
      <c r="A2393" t="s">
        <v>6</v>
      </c>
      <c r="B2393" s="5" t="str">
        <f>HYPERLINK("http://www.broadinstitute.org/gsea/msigdb/cards/GOBP_RAB_PROTEIN_SIGNAL_TRANSDUCTION.html","GOBP_RAB_PROTEIN_SIGNAL_TRANSDUCTION")</f>
        <v>GOBP_RAB_PROTEIN_SIGNAL_TRANSDUCTION</v>
      </c>
      <c r="C2393" s="4">
        <v>19</v>
      </c>
      <c r="D2393" s="3">
        <v>1.2584918</v>
      </c>
      <c r="E2393" s="1">
        <v>0.14853195999999999</v>
      </c>
      <c r="F2393" s="2">
        <v>0.23148357999999999</v>
      </c>
    </row>
    <row r="2394" spans="1:6" x14ac:dyDescent="0.25">
      <c r="A2394" t="s">
        <v>6</v>
      </c>
      <c r="B2394" s="5" t="str">
        <f>HYPERLINK("http://www.broadinstitute.org/gsea/msigdb/cards/GOBP_CELL_RECOGNITION.html","GOBP_CELL_RECOGNITION")</f>
        <v>GOBP_CELL_RECOGNITION</v>
      </c>
      <c r="C2394" s="4">
        <v>145</v>
      </c>
      <c r="D2394" s="3">
        <v>1.258467</v>
      </c>
      <c r="E2394" s="1">
        <v>7.8909610000000005E-2</v>
      </c>
      <c r="F2394" s="2">
        <v>0.23141982</v>
      </c>
    </row>
    <row r="2395" spans="1:6" x14ac:dyDescent="0.25">
      <c r="A2395" t="s">
        <v>6</v>
      </c>
      <c r="B2395" s="5" t="str">
        <f>HYPERLINK("http://www.broadinstitute.org/gsea/msigdb/cards/GOBP_REGULATION_OF_PROTEIN_LOCALIZATION_TO_MEMBRANE.html","GOBP_REGULATION_OF_PROTEIN_LOCALIZATION_TO_MEMBRANE")</f>
        <v>GOBP_REGULATION_OF_PROTEIN_LOCALIZATION_TO_MEMBRANE</v>
      </c>
      <c r="C2395" s="4">
        <v>205</v>
      </c>
      <c r="D2395" s="3">
        <v>1.2583871</v>
      </c>
      <c r="E2395" s="1">
        <v>5.4242004000000003E-2</v>
      </c>
      <c r="F2395" s="2">
        <v>0.2314339</v>
      </c>
    </row>
    <row r="2396" spans="1:6" x14ac:dyDescent="0.25">
      <c r="A2396" t="s">
        <v>6</v>
      </c>
      <c r="B2396" s="5" t="str">
        <f>HYPERLINK("http://www.broadinstitute.org/gsea/msigdb/cards/GOBP_MYOTUBE_DIFFERENTIATION.html","GOBP_MYOTUBE_DIFFERENTIATION")</f>
        <v>GOBP_MYOTUBE_DIFFERENTIATION</v>
      </c>
      <c r="C2396" s="4">
        <v>137</v>
      </c>
      <c r="D2396" s="3">
        <v>1.2580574</v>
      </c>
      <c r="E2396" s="1">
        <v>6.7892510000000003E-2</v>
      </c>
      <c r="F2396" s="2">
        <v>0.23179689000000001</v>
      </c>
    </row>
    <row r="2397" spans="1:6" x14ac:dyDescent="0.25">
      <c r="A2397" t="s">
        <v>10</v>
      </c>
      <c r="B2397" s="5" t="str">
        <f>HYPERLINK("http://www.broadinstitute.org/gsea/msigdb/cards/REACTOME_DETOXIFICATION_OF_REACTIVE_OXYGEN_SPECIES.html","REACTOME_DETOXIFICATION_OF_REACTIVE_OXYGEN_SPECIES")</f>
        <v>REACTOME_DETOXIFICATION_OF_REACTIVE_OXYGEN_SPECIES</v>
      </c>
      <c r="C2397" s="4">
        <v>32</v>
      </c>
      <c r="D2397" s="3">
        <v>1.2578834000000001</v>
      </c>
      <c r="E2397" s="1">
        <v>0.14285714999999999</v>
      </c>
      <c r="F2397" s="2">
        <v>0.23194426000000001</v>
      </c>
    </row>
    <row r="2398" spans="1:6" x14ac:dyDescent="0.25">
      <c r="A2398" t="s">
        <v>6</v>
      </c>
      <c r="B2398" s="5" t="str">
        <f>HYPERLINK("http://www.broadinstitute.org/gsea/msigdb/cards/GOBP_REGULATION_OF_STEROID_BIOSYNTHETIC_PROCESS.html","GOBP_REGULATION_OF_STEROID_BIOSYNTHETIC_PROCESS")</f>
        <v>GOBP_REGULATION_OF_STEROID_BIOSYNTHETIC_PROCESS</v>
      </c>
      <c r="C2398" s="4">
        <v>88</v>
      </c>
      <c r="D2398" s="3">
        <v>1.2571698</v>
      </c>
      <c r="E2398" s="1">
        <v>0.100931674</v>
      </c>
      <c r="F2398" s="2">
        <v>0.23282158</v>
      </c>
    </row>
    <row r="2399" spans="1:6" x14ac:dyDescent="0.25">
      <c r="A2399" t="s">
        <v>6</v>
      </c>
      <c r="B2399" s="5" t="str">
        <f>HYPERLINK("http://www.broadinstitute.org/gsea/msigdb/cards/GOBP_PURINE_DEOXYRIBONUCLEOTIDE_METABOLIC_PROCESS.html","GOBP_PURINE_DEOXYRIBONUCLEOTIDE_METABOLIC_PROCESS")</f>
        <v>GOBP_PURINE_DEOXYRIBONUCLEOTIDE_METABOLIC_PROCESS</v>
      </c>
      <c r="C2399" s="4">
        <v>21</v>
      </c>
      <c r="D2399" s="3">
        <v>1.2565899</v>
      </c>
      <c r="E2399" s="1">
        <v>0.15172414000000001</v>
      </c>
      <c r="F2399" s="2">
        <v>0.23360302999999999</v>
      </c>
    </row>
    <row r="2400" spans="1:6" x14ac:dyDescent="0.25">
      <c r="A2400" t="s">
        <v>9</v>
      </c>
      <c r="B2400" s="5" t="str">
        <f>HYPERLINK("http://www.broadinstitute.org/gsea/msigdb/cards/HALLMARK_MTORC1_SIGNALING.html","HALLMARK_MTORC1_SIGNALING")</f>
        <v>HALLMARK_MTORC1_SIGNALING</v>
      </c>
      <c r="C2400" s="4">
        <v>197</v>
      </c>
      <c r="D2400" s="3">
        <v>1.2565101000000001</v>
      </c>
      <c r="E2400" s="1">
        <v>6.5306119999999995E-2</v>
      </c>
      <c r="F2400" s="2">
        <v>0.23361355</v>
      </c>
    </row>
    <row r="2401" spans="1:6" x14ac:dyDescent="0.25">
      <c r="A2401" t="s">
        <v>6</v>
      </c>
      <c r="B2401" s="5" t="str">
        <f>HYPERLINK("http://www.broadinstitute.org/gsea/msigdb/cards/GOBP_RENAL_SYSTEM_DEVELOPMENT.html","GOBP_RENAL_SYSTEM_DEVELOPMENT")</f>
        <v>GOBP_RENAL_SYSTEM_DEVELOPMENT</v>
      </c>
      <c r="C2401" s="4">
        <v>335</v>
      </c>
      <c r="D2401" s="3">
        <v>1.2557602999999999</v>
      </c>
      <c r="E2401" s="1">
        <v>3.2299741999999999E-2</v>
      </c>
      <c r="F2401" s="2">
        <v>0.23453805</v>
      </c>
    </row>
    <row r="2402" spans="1:6" x14ac:dyDescent="0.25">
      <c r="A2402" t="s">
        <v>8</v>
      </c>
      <c r="B2402" s="5" t="str">
        <f>HYPERLINK("http://www.broadinstitute.org/gsea/msigdb/cards/GOMF_SCAFFOLD_PROTEIN_BINDING.html","GOMF_SCAFFOLD_PROTEIN_BINDING")</f>
        <v>GOMF_SCAFFOLD_PROTEIN_BINDING</v>
      </c>
      <c r="C2402" s="4">
        <v>88</v>
      </c>
      <c r="D2402" s="3">
        <v>1.2557031999999999</v>
      </c>
      <c r="E2402" s="1">
        <v>0.10318664499999999</v>
      </c>
      <c r="F2402" s="2">
        <v>0.23451973000000001</v>
      </c>
    </row>
    <row r="2403" spans="1:6" x14ac:dyDescent="0.25">
      <c r="A2403" t="s">
        <v>6</v>
      </c>
      <c r="B2403" s="5" t="str">
        <f>HYPERLINK("http://www.broadinstitute.org/gsea/msigdb/cards/GOBP_REGULATION_OF_ACTIN_FILAMENT_BUNDLE_ASSEMBLY.html","GOBP_REGULATION_OF_ACTIN_FILAMENT_BUNDLE_ASSEMBLY")</f>
        <v>GOBP_REGULATION_OF_ACTIN_FILAMENT_BUNDLE_ASSEMBLY</v>
      </c>
      <c r="C2403" s="4">
        <v>114</v>
      </c>
      <c r="D2403" s="3">
        <v>1.2556124</v>
      </c>
      <c r="E2403" s="1">
        <v>9.3390810000000005E-2</v>
      </c>
      <c r="F2403" s="2">
        <v>0.23455635999999999</v>
      </c>
    </row>
    <row r="2404" spans="1:6" x14ac:dyDescent="0.25">
      <c r="A2404" t="s">
        <v>6</v>
      </c>
      <c r="B2404" s="5" t="str">
        <f>HYPERLINK("http://www.broadinstitute.org/gsea/msigdb/cards/GOBP_REGULATION_OF_BROWN_FAT_CELL_DIFFERENTIATION.html","GOBP_REGULATION_OF_BROWN_FAT_CELL_DIFFERENTIATION")</f>
        <v>GOBP_REGULATION_OF_BROWN_FAT_CELL_DIFFERENTIATION</v>
      </c>
      <c r="C2404" s="4">
        <v>27</v>
      </c>
      <c r="D2404" s="3">
        <v>1.2553493</v>
      </c>
      <c r="E2404" s="1">
        <v>0.17211704</v>
      </c>
      <c r="F2404" s="2">
        <v>0.23483028</v>
      </c>
    </row>
    <row r="2405" spans="1:6" x14ac:dyDescent="0.25">
      <c r="A2405" t="s">
        <v>6</v>
      </c>
      <c r="B2405" s="5" t="str">
        <f>HYPERLINK("http://www.broadinstitute.org/gsea/msigdb/cards/GOBP_CERAMIDE_TRANSPORT.html","GOBP_CERAMIDE_TRANSPORT")</f>
        <v>GOBP_CERAMIDE_TRANSPORT</v>
      </c>
      <c r="C2405" s="4">
        <v>15</v>
      </c>
      <c r="D2405" s="3">
        <v>1.2553475000000001</v>
      </c>
      <c r="E2405" s="1">
        <v>0.19120135999999999</v>
      </c>
      <c r="F2405" s="2">
        <v>0.23473611</v>
      </c>
    </row>
    <row r="2406" spans="1:6" x14ac:dyDescent="0.25">
      <c r="A2406" t="s">
        <v>7</v>
      </c>
      <c r="B2406" s="5" t="str">
        <f>HYPERLINK("http://www.broadinstitute.org/gsea/msigdb/cards/GOCC_ASTROCYTE_PROJECTION.html","GOCC_ASTROCYTE_PROJECTION")</f>
        <v>GOCC_ASTROCYTE_PROJECTION</v>
      </c>
      <c r="C2406" s="4">
        <v>23</v>
      </c>
      <c r="D2406" s="3">
        <v>1.2552603</v>
      </c>
      <c r="E2406" s="1">
        <v>0.15666667000000001</v>
      </c>
      <c r="F2406" s="2">
        <v>0.23476273</v>
      </c>
    </row>
    <row r="2407" spans="1:6" x14ac:dyDescent="0.25">
      <c r="A2407" t="s">
        <v>6</v>
      </c>
      <c r="B2407" s="5" t="str">
        <f>HYPERLINK("http://www.broadinstitute.org/gsea/msigdb/cards/GOBP_REGULATION_OF_ORGANELLE_ASSEMBLY.html","GOBP_REGULATION_OF_ORGANELLE_ASSEMBLY")</f>
        <v>GOBP_REGULATION_OF_ORGANELLE_ASSEMBLY</v>
      </c>
      <c r="C2407" s="4">
        <v>226</v>
      </c>
      <c r="D2407" s="3">
        <v>1.2552592</v>
      </c>
      <c r="E2407" s="1">
        <v>5.4945055E-2</v>
      </c>
      <c r="F2407" s="2">
        <v>0.23466691000000001</v>
      </c>
    </row>
    <row r="2408" spans="1:6" x14ac:dyDescent="0.25">
      <c r="A2408" t="s">
        <v>6</v>
      </c>
      <c r="B2408" s="5" t="str">
        <f>HYPERLINK("http://www.broadinstitute.org/gsea/msigdb/cards/GOBP_RESPONSE_TO_COLD.html","GOBP_RESPONSE_TO_COLD")</f>
        <v>GOBP_RESPONSE_TO_COLD</v>
      </c>
      <c r="C2408" s="4">
        <v>44</v>
      </c>
      <c r="D2408" s="3">
        <v>1.2547978</v>
      </c>
      <c r="E2408" s="1">
        <v>0.14710744000000001</v>
      </c>
      <c r="F2408" s="2">
        <v>0.23519594999999999</v>
      </c>
    </row>
    <row r="2409" spans="1:6" x14ac:dyDescent="0.25">
      <c r="A2409" t="s">
        <v>6</v>
      </c>
      <c r="B2409" s="5" t="str">
        <f>HYPERLINK("http://www.broadinstitute.org/gsea/msigdb/cards/GOBP_GLIAL_CELL_DEVELOPMENT.html","GOBP_GLIAL_CELL_DEVELOPMENT")</f>
        <v>GOBP_GLIAL_CELL_DEVELOPMENT</v>
      </c>
      <c r="C2409" s="4">
        <v>137</v>
      </c>
      <c r="D2409" s="3">
        <v>1.2546439</v>
      </c>
      <c r="E2409" s="1">
        <v>7.0707069999999997E-2</v>
      </c>
      <c r="F2409" s="2">
        <v>0.23529609000000001</v>
      </c>
    </row>
    <row r="2410" spans="1:6" x14ac:dyDescent="0.25">
      <c r="A2410" t="s">
        <v>6</v>
      </c>
      <c r="B2410" s="5" t="str">
        <f>HYPERLINK("http://www.broadinstitute.org/gsea/msigdb/cards/GOBP_ANIMAL_ORGAN_REGENERATION.html","GOBP_ANIMAL_ORGAN_REGENERATION")</f>
        <v>GOBP_ANIMAL_ORGAN_REGENERATION</v>
      </c>
      <c r="C2410" s="4">
        <v>29</v>
      </c>
      <c r="D2410" s="3">
        <v>1.2544207999999999</v>
      </c>
      <c r="E2410" s="1">
        <v>0.16695352999999999</v>
      </c>
      <c r="F2410" s="2">
        <v>0.23549498999999999</v>
      </c>
    </row>
    <row r="2411" spans="1:6" x14ac:dyDescent="0.25">
      <c r="A2411" t="s">
        <v>8</v>
      </c>
      <c r="B2411" s="5" t="str">
        <f>HYPERLINK("http://www.broadinstitute.org/gsea/msigdb/cards/GOMF_G_PROTEIN_BETA_GAMMA_SUBUNIT_COMPLEX_BINDING.html","GOMF_G_PROTEIN_BETA_GAMMA_SUBUNIT_COMPLEX_BINDING")</f>
        <v>GOMF_G_PROTEIN_BETA_GAMMA_SUBUNIT_COMPLEX_BINDING</v>
      </c>
      <c r="C2411" s="4">
        <v>24</v>
      </c>
      <c r="D2411" s="3">
        <v>1.2543428999999999</v>
      </c>
      <c r="E2411" s="1">
        <v>0.16074450000000001</v>
      </c>
      <c r="F2411" s="2">
        <v>0.23550405999999999</v>
      </c>
    </row>
    <row r="2412" spans="1:6" x14ac:dyDescent="0.25">
      <c r="A2412" t="s">
        <v>6</v>
      </c>
      <c r="B2412" s="5" t="str">
        <f>HYPERLINK("http://www.broadinstitute.org/gsea/msigdb/cards/GOBP_REGULATION_OF_RESPONSE_TO_OSMOTIC_STRESS.html","GOBP_REGULATION_OF_RESPONSE_TO_OSMOTIC_STRESS")</f>
        <v>GOBP_REGULATION_OF_RESPONSE_TO_OSMOTIC_STRESS</v>
      </c>
      <c r="C2412" s="4">
        <v>18</v>
      </c>
      <c r="D2412" s="3">
        <v>1.2542989</v>
      </c>
      <c r="E2412" s="1">
        <v>0.19897959000000001</v>
      </c>
      <c r="F2412" s="2">
        <v>0.23547006000000001</v>
      </c>
    </row>
    <row r="2413" spans="1:6" x14ac:dyDescent="0.25">
      <c r="A2413" t="s">
        <v>6</v>
      </c>
      <c r="B2413" s="5" t="str">
        <f>HYPERLINK("http://www.broadinstitute.org/gsea/msigdb/cards/GOBP_POSITIVE_REGULATION_OF_PHOSPHOLIPID_METABOLIC_PROCESS.html","GOBP_POSITIVE_REGULATION_OF_PHOSPHOLIPID_METABOLIC_PROCESS")</f>
        <v>GOBP_POSITIVE_REGULATION_OF_PHOSPHOLIPID_METABOLIC_PROCESS</v>
      </c>
      <c r="C2413" s="4">
        <v>15</v>
      </c>
      <c r="D2413" s="3">
        <v>1.2535951000000001</v>
      </c>
      <c r="E2413" s="1">
        <v>0.19382504</v>
      </c>
      <c r="F2413" s="2">
        <v>0.23633415999999999</v>
      </c>
    </row>
    <row r="2414" spans="1:6" x14ac:dyDescent="0.25">
      <c r="A2414" t="s">
        <v>6</v>
      </c>
      <c r="B2414" s="5" t="str">
        <f>HYPERLINK("http://www.broadinstitute.org/gsea/msigdb/cards/GOBP_IMMATURE_B_CELL_DIFFERENTIATION.html","GOBP_IMMATURE_B_CELL_DIFFERENTIATION")</f>
        <v>GOBP_IMMATURE_B_CELL_DIFFERENTIATION</v>
      </c>
      <c r="C2414" s="4">
        <v>16</v>
      </c>
      <c r="D2414" s="3">
        <v>1.2528754</v>
      </c>
      <c r="E2414" s="1">
        <v>0.18791947000000001</v>
      </c>
      <c r="F2414" s="2">
        <v>0.23722963</v>
      </c>
    </row>
    <row r="2415" spans="1:6" x14ac:dyDescent="0.25">
      <c r="A2415" t="s">
        <v>6</v>
      </c>
      <c r="B2415" s="5" t="str">
        <f>HYPERLINK("http://www.broadinstitute.org/gsea/msigdb/cards/GOBP_SULFUR_COMPOUND_METABOLIC_PROCESS.html","GOBP_SULFUR_COMPOUND_METABOLIC_PROCESS")</f>
        <v>GOBP_SULFUR_COMPOUND_METABOLIC_PROCESS</v>
      </c>
      <c r="C2415" s="4">
        <v>277</v>
      </c>
      <c r="D2415" s="3">
        <v>1.2526459999999999</v>
      </c>
      <c r="E2415" s="1">
        <v>4.4295304000000001E-2</v>
      </c>
      <c r="F2415" s="2">
        <v>0.23745632</v>
      </c>
    </row>
    <row r="2416" spans="1:6" x14ac:dyDescent="0.25">
      <c r="A2416" t="s">
        <v>6</v>
      </c>
      <c r="B2416" s="5" t="str">
        <f>HYPERLINK("http://www.broadinstitute.org/gsea/msigdb/cards/GOBP_ALCOHOL_METABOLIC_PROCESS.html","GOBP_ALCOHOL_METABOLIC_PROCESS")</f>
        <v>GOBP_ALCOHOL_METABOLIC_PROCESS</v>
      </c>
      <c r="C2416" s="4">
        <v>341</v>
      </c>
      <c r="D2416" s="3">
        <v>1.2525584999999999</v>
      </c>
      <c r="E2416" s="1">
        <v>3.5761590000000003E-2</v>
      </c>
      <c r="F2416" s="2">
        <v>0.23747773</v>
      </c>
    </row>
    <row r="2417" spans="1:6" x14ac:dyDescent="0.25">
      <c r="A2417" t="s">
        <v>6</v>
      </c>
      <c r="B2417" s="5" t="str">
        <f>HYPERLINK("http://www.broadinstitute.org/gsea/msigdb/cards/GOBP_EMBRYO_IMPLANTATION.html","GOBP_EMBRYO_IMPLANTATION")</f>
        <v>GOBP_EMBRYO_IMPLANTATION</v>
      </c>
      <c r="C2417" s="4">
        <v>62</v>
      </c>
      <c r="D2417" s="3">
        <v>1.2522181999999999</v>
      </c>
      <c r="E2417" s="1">
        <v>0.11708861</v>
      </c>
      <c r="F2417" s="2">
        <v>0.23787871999999999</v>
      </c>
    </row>
    <row r="2418" spans="1:6" x14ac:dyDescent="0.25">
      <c r="A2418" t="s">
        <v>6</v>
      </c>
      <c r="B2418" s="5" t="str">
        <f>HYPERLINK("http://www.broadinstitute.org/gsea/msigdb/cards/GOBP_RESPONSE_TO_AMINE.html","GOBP_RESPONSE_TO_AMINE")</f>
        <v>GOBP_RESPONSE_TO_AMINE</v>
      </c>
      <c r="C2418" s="4">
        <v>24</v>
      </c>
      <c r="D2418" s="3">
        <v>1.2519103</v>
      </c>
      <c r="E2418" s="1">
        <v>0.16550523</v>
      </c>
      <c r="F2418" s="2">
        <v>0.23821539</v>
      </c>
    </row>
    <row r="2419" spans="1:6" x14ac:dyDescent="0.25">
      <c r="A2419" t="s">
        <v>6</v>
      </c>
      <c r="B2419" s="5" t="str">
        <f>HYPERLINK("http://www.broadinstitute.org/gsea/msigdb/cards/GOBP_INTERLEUKIN_13_PRODUCTION.html","GOBP_INTERLEUKIN_13_PRODUCTION")</f>
        <v>GOBP_INTERLEUKIN_13_PRODUCTION</v>
      </c>
      <c r="C2419" s="4">
        <v>35</v>
      </c>
      <c r="D2419" s="3">
        <v>1.2516982999999999</v>
      </c>
      <c r="E2419" s="1">
        <v>0.15161290999999999</v>
      </c>
      <c r="F2419" s="2">
        <v>0.23841288999999999</v>
      </c>
    </row>
    <row r="2420" spans="1:6" x14ac:dyDescent="0.25">
      <c r="A2420" t="s">
        <v>6</v>
      </c>
      <c r="B2420" s="5" t="str">
        <f>HYPERLINK("http://www.broadinstitute.org/gsea/msigdb/cards/GOBP_SENSORY_PERCEPTION_OF_TEMPERATURE_STIMULUS.html","GOBP_SENSORY_PERCEPTION_OF_TEMPERATURE_STIMULUS")</f>
        <v>GOBP_SENSORY_PERCEPTION_OF_TEMPERATURE_STIMULUS</v>
      </c>
      <c r="C2420" s="4">
        <v>34</v>
      </c>
      <c r="D2420" s="3">
        <v>1.2516248000000001</v>
      </c>
      <c r="E2420" s="1">
        <v>0.15576324</v>
      </c>
      <c r="F2420" s="2">
        <v>0.23842047</v>
      </c>
    </row>
    <row r="2421" spans="1:6" x14ac:dyDescent="0.25">
      <c r="A2421" t="s">
        <v>6</v>
      </c>
      <c r="B2421" s="5" t="str">
        <f>HYPERLINK("http://www.broadinstitute.org/gsea/msigdb/cards/GOBP_POSITIVE_REGULATION_OF_SIGNALING_RECEPTOR_ACTIVITY.html","GOBP_POSITIVE_REGULATION_OF_SIGNALING_RECEPTOR_ACTIVITY")</f>
        <v>GOBP_POSITIVE_REGULATION_OF_SIGNALING_RECEPTOR_ACTIVITY</v>
      </c>
      <c r="C2421" s="4">
        <v>40</v>
      </c>
      <c r="D2421" s="3">
        <v>1.2513334</v>
      </c>
      <c r="E2421" s="1">
        <v>0.1394958</v>
      </c>
      <c r="F2421" s="2">
        <v>0.23874699999999999</v>
      </c>
    </row>
    <row r="2422" spans="1:6" x14ac:dyDescent="0.25">
      <c r="A2422" t="s">
        <v>5</v>
      </c>
      <c r="B2422" s="5" t="str">
        <f>HYPERLINK("http://www.broadinstitute.org/gsea/msigdb/cards/BIOCARTA_CTLA4_PATHWAY.html","BIOCARTA_CTLA4_PATHWAY")</f>
        <v>BIOCARTA_CTLA4_PATHWAY</v>
      </c>
      <c r="C2422" s="4">
        <v>16</v>
      </c>
      <c r="D2422" s="3">
        <v>1.2512904</v>
      </c>
      <c r="E2422" s="1">
        <v>0.17486338000000001</v>
      </c>
      <c r="F2422" s="2">
        <v>0.23870163999999999</v>
      </c>
    </row>
    <row r="2423" spans="1:6" x14ac:dyDescent="0.25">
      <c r="A2423" t="s">
        <v>10</v>
      </c>
      <c r="B2423" s="5" t="str">
        <f>HYPERLINK("http://www.broadinstitute.org/gsea/msigdb/cards/REACTOME_LDL_CLEARANCE.html","REACTOME_LDL_CLEARANCE")</f>
        <v>REACTOME_LDL_CLEARANCE</v>
      </c>
      <c r="C2423" s="4">
        <v>18</v>
      </c>
      <c r="D2423" s="3">
        <v>1.2511747</v>
      </c>
      <c r="E2423" s="1">
        <v>0.18356644</v>
      </c>
      <c r="F2423" s="2">
        <v>0.23875946000000001</v>
      </c>
    </row>
    <row r="2424" spans="1:6" x14ac:dyDescent="0.25">
      <c r="A2424" t="s">
        <v>6</v>
      </c>
      <c r="B2424" s="5" t="str">
        <f>HYPERLINK("http://www.broadinstitute.org/gsea/msigdb/cards/GOBP_POSITIVE_REGULATION_OF_TRANSFORMING_GROWTH_FACTOR_BETA_PRODUCTION.html","GOBP_POSITIVE_REGULATION_OF_TRANSFORMING_GROWTH_FACTOR_BETA_PRODUCTION")</f>
        <v>GOBP_POSITIVE_REGULATION_OF_TRANSFORMING_GROWTH_FACTOR_BETA_PRODUCTION</v>
      </c>
      <c r="C2424" s="4">
        <v>21</v>
      </c>
      <c r="D2424" s="3">
        <v>1.2510196</v>
      </c>
      <c r="E2424" s="1">
        <v>0.16166665999999999</v>
      </c>
      <c r="F2424" s="2">
        <v>0.23888822000000001</v>
      </c>
    </row>
    <row r="2425" spans="1:6" x14ac:dyDescent="0.25">
      <c r="A2425" t="s">
        <v>6</v>
      </c>
      <c r="B2425" s="5" t="str">
        <f>HYPERLINK("http://www.broadinstitute.org/gsea/msigdb/cards/GOBP_REGULATORY_T_CELL_DIFFERENTIATION.html","GOBP_REGULATORY_T_CELL_DIFFERENTIATION")</f>
        <v>GOBP_REGULATORY_T_CELL_DIFFERENTIATION</v>
      </c>
      <c r="C2425" s="4">
        <v>42</v>
      </c>
      <c r="D2425" s="3">
        <v>1.2508756000000001</v>
      </c>
      <c r="E2425" s="1">
        <v>0.15257049</v>
      </c>
      <c r="F2425" s="2">
        <v>0.23899690000000001</v>
      </c>
    </row>
    <row r="2426" spans="1:6" x14ac:dyDescent="0.25">
      <c r="A2426" t="s">
        <v>6</v>
      </c>
      <c r="B2426" s="5" t="str">
        <f>HYPERLINK("http://www.broadinstitute.org/gsea/msigdb/cards/GOBP_REGULATION_OF_ERAD_PATHWAY.html","GOBP_REGULATION_OF_ERAD_PATHWAY")</f>
        <v>GOBP_REGULATION_OF_ERAD_PATHWAY</v>
      </c>
      <c r="C2426" s="4">
        <v>24</v>
      </c>
      <c r="D2426" s="3">
        <v>1.2503446</v>
      </c>
      <c r="E2426" s="1">
        <v>0.16751268999999999</v>
      </c>
      <c r="F2426" s="2">
        <v>0.23969024</v>
      </c>
    </row>
    <row r="2427" spans="1:6" x14ac:dyDescent="0.25">
      <c r="A2427" t="s">
        <v>6</v>
      </c>
      <c r="B2427" s="5" t="str">
        <f>HYPERLINK("http://www.broadinstitute.org/gsea/msigdb/cards/GOBP_PYRIDINE_NUCLEOTIDE_BIOSYNTHETIC_PROCESS.html","GOBP_PYRIDINE_NUCLEOTIDE_BIOSYNTHETIC_PROCESS")</f>
        <v>GOBP_PYRIDINE_NUCLEOTIDE_BIOSYNTHETIC_PROCESS</v>
      </c>
      <c r="C2427" s="4">
        <v>19</v>
      </c>
      <c r="D2427" s="3">
        <v>1.2501882</v>
      </c>
      <c r="E2427" s="1">
        <v>0.17068965999999999</v>
      </c>
      <c r="F2427" s="2">
        <v>0.2398016</v>
      </c>
    </row>
    <row r="2428" spans="1:6" x14ac:dyDescent="0.25">
      <c r="A2428" t="s">
        <v>8</v>
      </c>
      <c r="B2428" s="5" t="str">
        <f>HYPERLINK("http://www.broadinstitute.org/gsea/msigdb/cards/GOMF_IRON_ION_BINDING.html","GOMF_IRON_ION_BINDING")</f>
        <v>GOMF_IRON_ION_BINDING</v>
      </c>
      <c r="C2428" s="4">
        <v>150</v>
      </c>
      <c r="D2428" s="3">
        <v>1.2501719</v>
      </c>
      <c r="E2428" s="1">
        <v>7.7844313999999998E-2</v>
      </c>
      <c r="F2428" s="2">
        <v>0.23972593</v>
      </c>
    </row>
    <row r="2429" spans="1:6" x14ac:dyDescent="0.25">
      <c r="A2429" t="s">
        <v>6</v>
      </c>
      <c r="B2429" s="5" t="str">
        <f>HYPERLINK("http://www.broadinstitute.org/gsea/msigdb/cards/GOBP_AMMONIUM_ION_METABOLIC_PROCESS.html","GOBP_AMMONIUM_ION_METABOLIC_PROCESS")</f>
        <v>GOBP_AMMONIUM_ION_METABOLIC_PROCESS</v>
      </c>
      <c r="C2429" s="4">
        <v>26</v>
      </c>
      <c r="D2429" s="3">
        <v>1.2498951</v>
      </c>
      <c r="E2429" s="1">
        <v>0.17161717000000001</v>
      </c>
      <c r="F2429" s="2">
        <v>0.24002198999999999</v>
      </c>
    </row>
    <row r="2430" spans="1:6" x14ac:dyDescent="0.25">
      <c r="A2430" t="s">
        <v>6</v>
      </c>
      <c r="B2430" s="5" t="str">
        <f>HYPERLINK("http://www.broadinstitute.org/gsea/msigdb/cards/GOBP_REGULATION_OF_INTRINSIC_APOPTOTIC_SIGNALING_PATHWAY_IN_RESPONSE_TO_DNA_DAMAGE.html","GOBP_REGULATION_OF_INTRINSIC_APOPTOTIC_SIGNALING_PATHWAY_IN_RESPONSE_TO_DNA_DAMAGE")</f>
        <v>GOBP_REGULATION_OF_INTRINSIC_APOPTOTIC_SIGNALING_PATHWAY_IN_RESPONSE_TO_DNA_DAMAGE</v>
      </c>
      <c r="C2430" s="4">
        <v>38</v>
      </c>
      <c r="D2430" s="3">
        <v>1.2495023000000001</v>
      </c>
      <c r="E2430" s="1">
        <v>0.1611842</v>
      </c>
      <c r="F2430" s="2">
        <v>0.24047804</v>
      </c>
    </row>
    <row r="2431" spans="1:6" x14ac:dyDescent="0.25">
      <c r="A2431" t="s">
        <v>6</v>
      </c>
      <c r="B2431" s="5" t="str">
        <f>HYPERLINK("http://www.broadinstitute.org/gsea/msigdb/cards/GOBP_PEPTIDE_TRANSPORT.html","GOBP_PEPTIDE_TRANSPORT")</f>
        <v>GOBP_PEPTIDE_TRANSPORT</v>
      </c>
      <c r="C2431" s="4">
        <v>322</v>
      </c>
      <c r="D2431" s="3">
        <v>1.249387</v>
      </c>
      <c r="E2431" s="1">
        <v>4.6814043E-2</v>
      </c>
      <c r="F2431" s="2">
        <v>0.24054705000000001</v>
      </c>
    </row>
    <row r="2432" spans="1:6" x14ac:dyDescent="0.25">
      <c r="A2432" t="s">
        <v>6</v>
      </c>
      <c r="B2432" s="5" t="str">
        <f>HYPERLINK("http://www.broadinstitute.org/gsea/msigdb/cards/GOBP_SEMI_LUNAR_VALVE_DEVELOPMENT.html","GOBP_SEMI_LUNAR_VALVE_DEVELOPMENT")</f>
        <v>GOBP_SEMI_LUNAR_VALVE_DEVELOPMENT</v>
      </c>
      <c r="C2432" s="4">
        <v>40</v>
      </c>
      <c r="D2432" s="3">
        <v>1.2492607</v>
      </c>
      <c r="E2432" s="1">
        <v>0.15728476999999999</v>
      </c>
      <c r="F2432" s="2">
        <v>0.24064954999999999</v>
      </c>
    </row>
    <row r="2433" spans="1:6" x14ac:dyDescent="0.25">
      <c r="A2433" t="s">
        <v>6</v>
      </c>
      <c r="B2433" s="5" t="str">
        <f>HYPERLINK("http://www.broadinstitute.org/gsea/msigdb/cards/GOBP_NEURON_REMODELING.html","GOBP_NEURON_REMODELING")</f>
        <v>GOBP_NEURON_REMODELING</v>
      </c>
      <c r="C2433" s="4">
        <v>19</v>
      </c>
      <c r="D2433" s="3">
        <v>1.2488836000000001</v>
      </c>
      <c r="E2433" s="1">
        <v>0.19683655999999999</v>
      </c>
      <c r="F2433" s="2">
        <v>0.24107846999999999</v>
      </c>
    </row>
    <row r="2434" spans="1:6" x14ac:dyDescent="0.25">
      <c r="A2434" t="s">
        <v>6</v>
      </c>
      <c r="B2434" s="5" t="str">
        <f>HYPERLINK("http://www.broadinstitute.org/gsea/msigdb/cards/GOBP_NUCLEOSIDE_DIPHOSPHATE_METABOLIC_PROCESS.html","GOBP_NUCLEOSIDE_DIPHOSPHATE_METABOLIC_PROCESS")</f>
        <v>GOBP_NUCLEOSIDE_DIPHOSPHATE_METABOLIC_PROCESS</v>
      </c>
      <c r="C2434" s="4">
        <v>30</v>
      </c>
      <c r="D2434" s="3">
        <v>1.2487397</v>
      </c>
      <c r="E2434" s="1">
        <v>0.15259739999999999</v>
      </c>
      <c r="F2434" s="2">
        <v>0.24118999999999999</v>
      </c>
    </row>
    <row r="2435" spans="1:6" x14ac:dyDescent="0.25">
      <c r="A2435" t="s">
        <v>6</v>
      </c>
      <c r="B2435" s="5" t="str">
        <f>HYPERLINK("http://www.broadinstitute.org/gsea/msigdb/cards/GOBP_GLUCOSAMINE_CONTAINING_COMPOUND_METABOLIC_PROCESS.html","GOBP_GLUCOSAMINE_CONTAINING_COMPOUND_METABOLIC_PROCESS")</f>
        <v>GOBP_GLUCOSAMINE_CONTAINING_COMPOUND_METABOLIC_PROCESS</v>
      </c>
      <c r="C2435" s="4">
        <v>27</v>
      </c>
      <c r="D2435" s="3">
        <v>1.2484508000000001</v>
      </c>
      <c r="E2435" s="1">
        <v>0.16666666999999999</v>
      </c>
      <c r="F2435" s="2">
        <v>0.2415012</v>
      </c>
    </row>
    <row r="2436" spans="1:6" x14ac:dyDescent="0.25">
      <c r="A2436" t="s">
        <v>5</v>
      </c>
      <c r="B2436" s="5" t="str">
        <f>HYPERLINK("http://www.broadinstitute.org/gsea/msigdb/cards/BIOCARTA_EGF_PATHWAY.html","BIOCARTA_EGF_PATHWAY")</f>
        <v>BIOCARTA_EGF_PATHWAY</v>
      </c>
      <c r="C2436" s="4">
        <v>28</v>
      </c>
      <c r="D2436" s="3">
        <v>1.2482884000000001</v>
      </c>
      <c r="E2436" s="1">
        <v>0.16776315999999999</v>
      </c>
      <c r="F2436" s="2">
        <v>0.24163647999999999</v>
      </c>
    </row>
    <row r="2437" spans="1:6" x14ac:dyDescent="0.25">
      <c r="A2437" t="s">
        <v>8</v>
      </c>
      <c r="B2437" s="5" t="str">
        <f>HYPERLINK("http://www.broadinstitute.org/gsea/msigdb/cards/GOMF_MOLECULAR_FUNCTION_INHIBITOR_ACTIVITY.html","GOMF_MOLECULAR_FUNCTION_INHIBITOR_ACTIVITY")</f>
        <v>GOMF_MOLECULAR_FUNCTION_INHIBITOR_ACTIVITY</v>
      </c>
      <c r="C2437" s="4">
        <v>473</v>
      </c>
      <c r="D2437" s="3">
        <v>1.2482039</v>
      </c>
      <c r="E2437" s="1">
        <v>2.0253165E-2</v>
      </c>
      <c r="F2437" s="2">
        <v>0.24165644</v>
      </c>
    </row>
    <row r="2438" spans="1:6" x14ac:dyDescent="0.25">
      <c r="A2438" t="s">
        <v>6</v>
      </c>
      <c r="B2438" s="5" t="str">
        <f>HYPERLINK("http://www.broadinstitute.org/gsea/msigdb/cards/GOBP_REGULATION_OF_NEURON_PROJECTION_REGENERATION.html","GOBP_REGULATION_OF_NEURON_PROJECTION_REGENERATION")</f>
        <v>GOBP_REGULATION_OF_NEURON_PROJECTION_REGENERATION</v>
      </c>
      <c r="C2438" s="4">
        <v>40</v>
      </c>
      <c r="D2438" s="3">
        <v>1.2479632000000001</v>
      </c>
      <c r="E2438" s="1">
        <v>0.15136053999999999</v>
      </c>
      <c r="F2438" s="2">
        <v>0.24187628999999999</v>
      </c>
    </row>
    <row r="2439" spans="1:6" x14ac:dyDescent="0.25">
      <c r="A2439" t="s">
        <v>6</v>
      </c>
      <c r="B2439" s="5" t="str">
        <f>HYPERLINK("http://www.broadinstitute.org/gsea/msigdb/cards/GOBP_REGULATION_OF_MYOBLAST_PROLIFERATION.html","GOBP_REGULATION_OF_MYOBLAST_PROLIFERATION")</f>
        <v>GOBP_REGULATION_OF_MYOBLAST_PROLIFERATION</v>
      </c>
      <c r="C2439" s="4">
        <v>21</v>
      </c>
      <c r="D2439" s="3">
        <v>1.2478796000000001</v>
      </c>
      <c r="E2439" s="1">
        <v>0.19966443</v>
      </c>
      <c r="F2439" s="2">
        <v>0.24190032</v>
      </c>
    </row>
    <row r="2440" spans="1:6" x14ac:dyDescent="0.25">
      <c r="A2440" t="s">
        <v>6</v>
      </c>
      <c r="B2440" s="5" t="str">
        <f>HYPERLINK("http://www.broadinstitute.org/gsea/msigdb/cards/GOBP_PROTEIN_LOCALIZATION_TO_PLASMA_MEMBRANE.html","GOBP_PROTEIN_LOCALIZATION_TO_PLASMA_MEMBRANE")</f>
        <v>GOBP_PROTEIN_LOCALIZATION_TO_PLASMA_MEMBRANE</v>
      </c>
      <c r="C2440" s="4">
        <v>309</v>
      </c>
      <c r="D2440" s="3">
        <v>1.2477505</v>
      </c>
      <c r="E2440" s="1">
        <v>3.2388664999999997E-2</v>
      </c>
      <c r="F2440" s="2">
        <v>0.24198337</v>
      </c>
    </row>
    <row r="2441" spans="1:6" x14ac:dyDescent="0.25">
      <c r="A2441" t="s">
        <v>6</v>
      </c>
      <c r="B2441" s="5" t="str">
        <f>HYPERLINK("http://www.broadinstitute.org/gsea/msigdb/cards/GOBP_SPHINGOMYELIN_METABOLIC_PROCESS.html","GOBP_SPHINGOMYELIN_METABOLIC_PROCESS")</f>
        <v>GOBP_SPHINGOMYELIN_METABOLIC_PROCESS</v>
      </c>
      <c r="C2441" s="4">
        <v>22</v>
      </c>
      <c r="D2441" s="3">
        <v>1.2477467</v>
      </c>
      <c r="E2441" s="1">
        <v>0.16267123999999999</v>
      </c>
      <c r="F2441" s="2">
        <v>0.24189167</v>
      </c>
    </row>
    <row r="2442" spans="1:6" x14ac:dyDescent="0.25">
      <c r="A2442" t="s">
        <v>6</v>
      </c>
      <c r="B2442" s="5" t="str">
        <f>HYPERLINK("http://www.broadinstitute.org/gsea/msigdb/cards/GOBP_METHYLGUANOSINE_CAP_DECAPPING.html","GOBP_METHYLGUANOSINE_CAP_DECAPPING")</f>
        <v>GOBP_METHYLGUANOSINE_CAP_DECAPPING</v>
      </c>
      <c r="C2442" s="4">
        <v>16</v>
      </c>
      <c r="D2442" s="3">
        <v>1.2475379</v>
      </c>
      <c r="E2442" s="1">
        <v>0.18729097</v>
      </c>
      <c r="F2442" s="2">
        <v>0.24210313</v>
      </c>
    </row>
    <row r="2443" spans="1:6" x14ac:dyDescent="0.25">
      <c r="A2443" t="s">
        <v>6</v>
      </c>
      <c r="B2443" s="5" t="str">
        <f>HYPERLINK("http://www.broadinstitute.org/gsea/msigdb/cards/GOBP_RIBONUCLEOSIDE_METABOLIC_PROCESS.html","GOBP_RIBONUCLEOSIDE_METABOLIC_PROCESS")</f>
        <v>GOBP_RIBONUCLEOSIDE_METABOLIC_PROCESS</v>
      </c>
      <c r="C2443" s="4">
        <v>33</v>
      </c>
      <c r="D2443" s="3">
        <v>1.2474829000000001</v>
      </c>
      <c r="E2443" s="1">
        <v>0.16498317000000001</v>
      </c>
      <c r="F2443" s="2">
        <v>0.24208102000000001</v>
      </c>
    </row>
    <row r="2444" spans="1:6" x14ac:dyDescent="0.25">
      <c r="A2444" t="s">
        <v>6</v>
      </c>
      <c r="B2444" s="5" t="str">
        <f>HYPERLINK("http://www.broadinstitute.org/gsea/msigdb/cards/GOBP_GLYCOSYL_COMPOUND_METABOLIC_PROCESS.html","GOBP_GLYCOSYL_COMPOUND_METABOLIC_PROCESS")</f>
        <v>GOBP_GLYCOSYL_COMPOUND_METABOLIC_PROCESS</v>
      </c>
      <c r="C2444" s="4">
        <v>75</v>
      </c>
      <c r="D2444" s="3">
        <v>1.2473516</v>
      </c>
      <c r="E2444" s="1">
        <v>0.12558140000000001</v>
      </c>
      <c r="F2444" s="2">
        <v>0.24217959999999999</v>
      </c>
    </row>
    <row r="2445" spans="1:6" x14ac:dyDescent="0.25">
      <c r="A2445" t="s">
        <v>6</v>
      </c>
      <c r="B2445" s="5" t="str">
        <f>HYPERLINK("http://www.broadinstitute.org/gsea/msigdb/cards/GOBP_NEURON_MATURATION.html","GOBP_NEURON_MATURATION")</f>
        <v>GOBP_NEURON_MATURATION</v>
      </c>
      <c r="C2445" s="4">
        <v>61</v>
      </c>
      <c r="D2445" s="3">
        <v>1.2470658999999999</v>
      </c>
      <c r="E2445" s="1">
        <v>0.1187801</v>
      </c>
      <c r="F2445" s="2">
        <v>0.24249423000000001</v>
      </c>
    </row>
    <row r="2446" spans="1:6" x14ac:dyDescent="0.25">
      <c r="A2446" t="s">
        <v>6</v>
      </c>
      <c r="B2446" s="5" t="str">
        <f>HYPERLINK("http://www.broadinstitute.org/gsea/msigdb/cards/GOBP_REGULATION_OF_PROTEIN_CONTAINING_COMPLEX_DISASSEMBLY.html","GOBP_REGULATION_OF_PROTEIN_CONTAINING_COMPLEX_DISASSEMBLY")</f>
        <v>GOBP_REGULATION_OF_PROTEIN_CONTAINING_COMPLEX_DISASSEMBLY</v>
      </c>
      <c r="C2446" s="4">
        <v>133</v>
      </c>
      <c r="D2446" s="3">
        <v>1.2459806</v>
      </c>
      <c r="E2446" s="1">
        <v>9.7383719999999993E-2</v>
      </c>
      <c r="F2446" s="2">
        <v>0.24400516</v>
      </c>
    </row>
    <row r="2447" spans="1:6" x14ac:dyDescent="0.25">
      <c r="A2447" t="s">
        <v>10</v>
      </c>
      <c r="B2447" s="5" t="str">
        <f>HYPERLINK("http://www.broadinstitute.org/gsea/msigdb/cards/REACTOME_THROMBIN_SIGNALLING_THROUGH_PROTEINASE_ACTIVATED_RECEPTORS_PARS.html","REACTOME_THROMBIN_SIGNALLING_THROUGH_PROTEINASE_ACTIVATED_RECEPTORS_PARS")</f>
        <v>REACTOME_THROMBIN_SIGNALLING_THROUGH_PROTEINASE_ACTIVATED_RECEPTORS_PARS</v>
      </c>
      <c r="C2447" s="4">
        <v>31</v>
      </c>
      <c r="D2447" s="3">
        <v>1.2456354000000001</v>
      </c>
      <c r="E2447" s="1">
        <v>0.15100670999999999</v>
      </c>
      <c r="F2447" s="2">
        <v>0.24441816999999999</v>
      </c>
    </row>
    <row r="2448" spans="1:6" x14ac:dyDescent="0.25">
      <c r="A2448" t="s">
        <v>6</v>
      </c>
      <c r="B2448" s="5" t="str">
        <f>HYPERLINK("http://www.broadinstitute.org/gsea/msigdb/cards/GOBP_POSITIVE_REGULATION_OF_NUCLEOTIDE_METABOLIC_PROCESS.html","GOBP_POSITIVE_REGULATION_OF_NUCLEOTIDE_METABOLIC_PROCESS")</f>
        <v>GOBP_POSITIVE_REGULATION_OF_NUCLEOTIDE_METABOLIC_PROCESS</v>
      </c>
      <c r="C2448" s="4">
        <v>26</v>
      </c>
      <c r="D2448" s="3">
        <v>1.2455547</v>
      </c>
      <c r="E2448" s="1">
        <v>0.17531305999999999</v>
      </c>
      <c r="F2448" s="2">
        <v>0.24434257000000001</v>
      </c>
    </row>
    <row r="2449" spans="1:6" x14ac:dyDescent="0.25">
      <c r="A2449" t="s">
        <v>11</v>
      </c>
      <c r="B2449" s="5" t="str">
        <f>HYPERLINK("http://www.broadinstitute.org/gsea/msigdb/cards/WP_ESC_PLURIPOTENCY_PATHWAYS.html","WP_ESC_PLURIPOTENCY_PATHWAYS")</f>
        <v>WP_ESC_PLURIPOTENCY_PATHWAYS</v>
      </c>
      <c r="C2449" s="4">
        <v>115</v>
      </c>
      <c r="D2449" s="3">
        <v>1.2455547</v>
      </c>
      <c r="E2449" s="1">
        <v>0.10151515</v>
      </c>
      <c r="F2449" s="2">
        <v>0.24444251</v>
      </c>
    </row>
    <row r="2450" spans="1:6" x14ac:dyDescent="0.25">
      <c r="A2450" t="s">
        <v>6</v>
      </c>
      <c r="B2450" s="5" t="str">
        <f>HYPERLINK("http://www.broadinstitute.org/gsea/msigdb/cards/GOBP_CARBOHYDRATE_CATABOLIC_PROCESS.html","GOBP_CARBOHYDRATE_CATABOLIC_PROCESS")</f>
        <v>GOBP_CARBOHYDRATE_CATABOLIC_PROCESS</v>
      </c>
      <c r="C2450" s="4">
        <v>158</v>
      </c>
      <c r="D2450" s="3">
        <v>1.2454685000000001</v>
      </c>
      <c r="E2450" s="1">
        <v>6.6365010000000002E-2</v>
      </c>
      <c r="F2450" s="2">
        <v>0.24435945000000001</v>
      </c>
    </row>
    <row r="2451" spans="1:6" x14ac:dyDescent="0.25">
      <c r="A2451" t="s">
        <v>6</v>
      </c>
      <c r="B2451" s="5" t="str">
        <f>HYPERLINK("http://www.broadinstitute.org/gsea/msigdb/cards/GOBP_GLUTAMINE_FAMILY_AMINO_ACID_METABOLIC_PROCESS.html","GOBP_GLUTAMINE_FAMILY_AMINO_ACID_METABOLIC_PROCESS")</f>
        <v>GOBP_GLUTAMINE_FAMILY_AMINO_ACID_METABOLIC_PROCESS</v>
      </c>
      <c r="C2451" s="4">
        <v>68</v>
      </c>
      <c r="D2451" s="3">
        <v>1.2447665999999999</v>
      </c>
      <c r="E2451" s="1">
        <v>0.12111292999999999</v>
      </c>
      <c r="F2451" s="2">
        <v>0.24528548</v>
      </c>
    </row>
    <row r="2452" spans="1:6" x14ac:dyDescent="0.25">
      <c r="A2452" t="s">
        <v>8</v>
      </c>
      <c r="B2452" s="5" t="str">
        <f>HYPERLINK("http://www.broadinstitute.org/gsea/msigdb/cards/GOMF_LYASE_ACTIVITY.html","GOMF_LYASE_ACTIVITY")</f>
        <v>GOMF_LYASE_ACTIVITY</v>
      </c>
      <c r="C2452" s="4">
        <v>193</v>
      </c>
      <c r="D2452" s="3">
        <v>1.2446953000000001</v>
      </c>
      <c r="E2452" s="1">
        <v>5.2259890000000003E-2</v>
      </c>
      <c r="F2452" s="2">
        <v>0.24529491</v>
      </c>
    </row>
    <row r="2453" spans="1:6" x14ac:dyDescent="0.25">
      <c r="A2453" t="s">
        <v>8</v>
      </c>
      <c r="B2453" s="5" t="str">
        <f>HYPERLINK("http://www.broadinstitute.org/gsea/msigdb/cards/GOMF_PROTEIN_SERINE_THREONINE_KINASE_BINDING.html","GOMF_PROTEIN_SERINE_THREONINE_KINASE_BINDING")</f>
        <v>GOMF_PROTEIN_SERINE_THREONINE_KINASE_BINDING</v>
      </c>
      <c r="C2453" s="4">
        <v>21</v>
      </c>
      <c r="D2453" s="3">
        <v>1.2445024</v>
      </c>
      <c r="E2453" s="1">
        <v>0.19086460999999999</v>
      </c>
      <c r="F2453" s="2">
        <v>0.24547763</v>
      </c>
    </row>
    <row r="2454" spans="1:6" x14ac:dyDescent="0.25">
      <c r="A2454" t="s">
        <v>6</v>
      </c>
      <c r="B2454" s="5" t="str">
        <f>HYPERLINK("http://www.broadinstitute.org/gsea/msigdb/cards/GOBP_MINERALOCORTICOID_METABOLIC_PROCESS.html","GOBP_MINERALOCORTICOID_METABOLIC_PROCESS")</f>
        <v>GOBP_MINERALOCORTICOID_METABOLIC_PROCESS</v>
      </c>
      <c r="C2454" s="4">
        <v>15</v>
      </c>
      <c r="D2454" s="3">
        <v>1.2440446999999999</v>
      </c>
      <c r="E2454" s="1">
        <v>0.19014084000000001</v>
      </c>
      <c r="F2454" s="2">
        <v>0.24602577</v>
      </c>
    </row>
    <row r="2455" spans="1:6" x14ac:dyDescent="0.25">
      <c r="A2455" t="s">
        <v>10</v>
      </c>
      <c r="B2455" s="5" t="str">
        <f>HYPERLINK("http://www.broadinstitute.org/gsea/msigdb/cards/REACTOME_G_PROTEIN_ACTIVATION.html","REACTOME_G_PROTEIN_ACTIVATION")</f>
        <v>REACTOME_G_PROTEIN_ACTIVATION</v>
      </c>
      <c r="C2455" s="4">
        <v>23</v>
      </c>
      <c r="D2455" s="3">
        <v>1.2428676000000001</v>
      </c>
      <c r="E2455" s="1">
        <v>0.1734694</v>
      </c>
      <c r="F2455" s="2">
        <v>0.24762851</v>
      </c>
    </row>
    <row r="2456" spans="1:6" x14ac:dyDescent="0.25">
      <c r="A2456" t="s">
        <v>6</v>
      </c>
      <c r="B2456" s="5" t="str">
        <f>HYPERLINK("http://www.broadinstitute.org/gsea/msigdb/cards/GOBP_REGULATION_OF_MACROPHAGE_DIFFERENTIATION.html","GOBP_REGULATION_OF_MACROPHAGE_DIFFERENTIATION")</f>
        <v>GOBP_REGULATION_OF_MACROPHAGE_DIFFERENTIATION</v>
      </c>
      <c r="C2456" s="4">
        <v>21</v>
      </c>
      <c r="D2456" s="3">
        <v>1.242785</v>
      </c>
      <c r="E2456" s="1">
        <v>0.18166940000000001</v>
      </c>
      <c r="F2456" s="2">
        <v>0.24764243</v>
      </c>
    </row>
    <row r="2457" spans="1:6" x14ac:dyDescent="0.25">
      <c r="A2457" t="s">
        <v>6</v>
      </c>
      <c r="B2457" s="5" t="str">
        <f>HYPERLINK("http://www.broadinstitute.org/gsea/msigdb/cards/GOBP_NEGATIVE_REGULATION_OF_MYOTUBE_DIFFERENTIATION.html","GOBP_NEGATIVE_REGULATION_OF_MYOTUBE_DIFFERENTIATION")</f>
        <v>GOBP_NEGATIVE_REGULATION_OF_MYOTUBE_DIFFERENTIATION</v>
      </c>
      <c r="C2457" s="4">
        <v>16</v>
      </c>
      <c r="D2457" s="3">
        <v>1.2426478000000001</v>
      </c>
      <c r="E2457" s="1">
        <v>0.20238096</v>
      </c>
      <c r="F2457" s="2">
        <v>0.24773048</v>
      </c>
    </row>
    <row r="2458" spans="1:6" x14ac:dyDescent="0.25">
      <c r="A2458" t="s">
        <v>6</v>
      </c>
      <c r="B2458" s="5" t="str">
        <f>HYPERLINK("http://www.broadinstitute.org/gsea/msigdb/cards/GOBP_MONOCYTE_DIFFERENTIATION.html","GOBP_MONOCYTE_DIFFERENTIATION")</f>
        <v>GOBP_MONOCYTE_DIFFERENTIATION</v>
      </c>
      <c r="C2458" s="4">
        <v>28</v>
      </c>
      <c r="D2458" s="3">
        <v>1.2423488</v>
      </c>
      <c r="E2458" s="1">
        <v>0.16521738</v>
      </c>
      <c r="F2458" s="2">
        <v>0.24805239000000001</v>
      </c>
    </row>
    <row r="2459" spans="1:6" x14ac:dyDescent="0.25">
      <c r="A2459" t="s">
        <v>6</v>
      </c>
      <c r="B2459" s="5" t="str">
        <f>HYPERLINK("http://www.broadinstitute.org/gsea/msigdb/cards/GOBP_DICARBOXYLIC_ACID_CATABOLIC_PROCESS.html","GOBP_DICARBOXYLIC_ACID_CATABOLIC_PROCESS")</f>
        <v>GOBP_DICARBOXYLIC_ACID_CATABOLIC_PROCESS</v>
      </c>
      <c r="C2459" s="4">
        <v>17</v>
      </c>
      <c r="D2459" s="3">
        <v>1.2420827999999999</v>
      </c>
      <c r="E2459" s="1">
        <v>0.20777027000000001</v>
      </c>
      <c r="F2459" s="2">
        <v>0.24834310000000001</v>
      </c>
    </row>
    <row r="2460" spans="1:6" x14ac:dyDescent="0.25">
      <c r="A2460" t="s">
        <v>10</v>
      </c>
      <c r="B2460" s="5" t="str">
        <f>HYPERLINK("http://www.broadinstitute.org/gsea/msigdb/cards/REACTOME_COMMON_PATHWAY_OF_FIBRIN_CLOT_FORMATION.html","REACTOME_COMMON_PATHWAY_OF_FIBRIN_CLOT_FORMATION")</f>
        <v>REACTOME_COMMON_PATHWAY_OF_FIBRIN_CLOT_FORMATION</v>
      </c>
      <c r="C2460" s="4">
        <v>21</v>
      </c>
      <c r="D2460" s="3">
        <v>1.2420009999999999</v>
      </c>
      <c r="E2460" s="1">
        <v>0.18027209999999999</v>
      </c>
      <c r="F2460" s="2">
        <v>0.24835387</v>
      </c>
    </row>
    <row r="2461" spans="1:6" x14ac:dyDescent="0.25">
      <c r="A2461" t="s">
        <v>6</v>
      </c>
      <c r="B2461" s="5" t="str">
        <f>HYPERLINK("http://www.broadinstitute.org/gsea/msigdb/cards/GOBP_VACUOLAR_LOCALIZATION.html","GOBP_VACUOLAR_LOCALIZATION")</f>
        <v>GOBP_VACUOLAR_LOCALIZATION</v>
      </c>
      <c r="C2461" s="4">
        <v>92</v>
      </c>
      <c r="D2461" s="3">
        <v>1.2415852999999999</v>
      </c>
      <c r="E2461" s="1">
        <v>0.10815047</v>
      </c>
      <c r="F2461" s="2">
        <v>0.24884867999999999</v>
      </c>
    </row>
    <row r="2462" spans="1:6" x14ac:dyDescent="0.25">
      <c r="A2462" t="s">
        <v>6</v>
      </c>
      <c r="B2462" s="5" t="str">
        <f>HYPERLINK("http://www.broadinstitute.org/gsea/msigdb/cards/GOBP_ACTIVATION_OF_GTPASE_ACTIVITY.html","GOBP_ACTIVATION_OF_GTPASE_ACTIVITY")</f>
        <v>GOBP_ACTIVATION_OF_GTPASE_ACTIVITY</v>
      </c>
      <c r="C2462" s="4">
        <v>97</v>
      </c>
      <c r="D2462" s="3">
        <v>1.2414801</v>
      </c>
      <c r="E2462" s="1">
        <v>0.10846954</v>
      </c>
      <c r="F2462" s="2">
        <v>0.24889973000000001</v>
      </c>
    </row>
    <row r="2463" spans="1:6" x14ac:dyDescent="0.25">
      <c r="A2463" t="s">
        <v>6</v>
      </c>
      <c r="B2463" s="5" t="str">
        <f>HYPERLINK("http://www.broadinstitute.org/gsea/msigdb/cards/GOBP_PURINE_RIBONUCLEOSIDE_METABOLIC_PROCESS.html","GOBP_PURINE_RIBONUCLEOSIDE_METABOLIC_PROCESS")</f>
        <v>GOBP_PURINE_RIBONUCLEOSIDE_METABOLIC_PROCESS</v>
      </c>
      <c r="C2463" s="4">
        <v>27</v>
      </c>
      <c r="D2463" s="3">
        <v>1.2411989999999999</v>
      </c>
      <c r="E2463" s="1">
        <v>0.15862069000000001</v>
      </c>
      <c r="F2463" s="2">
        <v>0.24920464000000001</v>
      </c>
    </row>
    <row r="2464" spans="1:6" x14ac:dyDescent="0.25">
      <c r="A2464" t="s">
        <v>7</v>
      </c>
      <c r="B2464" s="5" t="str">
        <f>HYPERLINK("http://www.broadinstitute.org/gsea/msigdb/cards/GOCC_FEMALE_GERM_CELL_NUCLEUS.html","GOCC_FEMALE_GERM_CELL_NUCLEUS")</f>
        <v>GOCC_FEMALE_GERM_CELL_NUCLEUS</v>
      </c>
      <c r="C2464" s="4">
        <v>19</v>
      </c>
      <c r="D2464" s="3">
        <v>1.2408733000000001</v>
      </c>
      <c r="E2464" s="1">
        <v>0.17798164</v>
      </c>
      <c r="F2464" s="2">
        <v>0.24959268000000001</v>
      </c>
    </row>
    <row r="2465" spans="1:6" x14ac:dyDescent="0.25">
      <c r="A2465" t="s">
        <v>6</v>
      </c>
      <c r="B2465" s="5" t="str">
        <f>HYPERLINK("http://www.broadinstitute.org/gsea/msigdb/cards/GOBP_POST_EMBRYONIC_ANIMAL_ORGAN_DEVELOPMENT.html","GOBP_POST_EMBRYONIC_ANIMAL_ORGAN_DEVELOPMENT")</f>
        <v>GOBP_POST_EMBRYONIC_ANIMAL_ORGAN_DEVELOPMENT</v>
      </c>
      <c r="C2465" s="4">
        <v>18</v>
      </c>
      <c r="D2465" s="3">
        <v>1.2404732000000001</v>
      </c>
      <c r="E2465" s="1">
        <v>0.18563922999999999</v>
      </c>
      <c r="F2465" s="2">
        <v>0.25009045000000002</v>
      </c>
    </row>
    <row r="2466" spans="1:6" x14ac:dyDescent="0.25">
      <c r="A2466" t="s">
        <v>6</v>
      </c>
      <c r="B2466" s="5" t="str">
        <f>HYPERLINK("http://www.broadinstitute.org/gsea/msigdb/cards/GOBP_CDC42_PROTEIN_SIGNAL_TRANSDUCTION.html","GOBP_CDC42_PROTEIN_SIGNAL_TRANSDUCTION")</f>
        <v>GOBP_CDC42_PROTEIN_SIGNAL_TRANSDUCTION</v>
      </c>
      <c r="C2466" s="4">
        <v>16</v>
      </c>
      <c r="D2466" s="3">
        <v>1.2404293</v>
      </c>
      <c r="E2466" s="1">
        <v>0.17900172</v>
      </c>
      <c r="F2466" s="2">
        <v>0.25006719999999999</v>
      </c>
    </row>
    <row r="2467" spans="1:6" x14ac:dyDescent="0.25">
      <c r="A2467" t="s">
        <v>6</v>
      </c>
      <c r="B2467" s="5" t="str">
        <f>HYPERLINK("http://www.broadinstitute.org/gsea/msigdb/cards/GOBP_NEGATIVE_REGULATION_OF_PROTEIN_BINDING.html","GOBP_NEGATIVE_REGULATION_OF_PROTEIN_BINDING")</f>
        <v>GOBP_NEGATIVE_REGULATION_OF_PROTEIN_BINDING</v>
      </c>
      <c r="C2467" s="4">
        <v>99</v>
      </c>
      <c r="D2467" s="3">
        <v>1.2398747999999999</v>
      </c>
      <c r="E2467" s="1">
        <v>9.3558279999999994E-2</v>
      </c>
      <c r="F2467" s="2">
        <v>0.25076169999999998</v>
      </c>
    </row>
    <row r="2468" spans="1:6" x14ac:dyDescent="0.25">
      <c r="A2468" t="s">
        <v>6</v>
      </c>
      <c r="B2468" s="5" t="str">
        <f>HYPERLINK("http://www.broadinstitute.org/gsea/msigdb/cards/GOBP_PROTEIN_KINASE_C_SIGNALING.html","GOBP_PROTEIN_KINASE_C_SIGNALING")</f>
        <v>GOBP_PROTEIN_KINASE_C_SIGNALING</v>
      </c>
      <c r="C2468" s="4">
        <v>39</v>
      </c>
      <c r="D2468" s="3">
        <v>1.2398072</v>
      </c>
      <c r="E2468" s="1">
        <v>0.16504853999999999</v>
      </c>
      <c r="F2468" s="2">
        <v>0.25076093999999999</v>
      </c>
    </row>
    <row r="2469" spans="1:6" x14ac:dyDescent="0.25">
      <c r="A2469" t="s">
        <v>10</v>
      </c>
      <c r="B2469" s="5" t="str">
        <f>HYPERLINK("http://www.broadinstitute.org/gsea/msigdb/cards/REACTOME_EPHRIN_SIGNALING.html","REACTOME_EPHRIN_SIGNALING")</f>
        <v>REACTOME_EPHRIN_SIGNALING</v>
      </c>
      <c r="C2469" s="4">
        <v>18</v>
      </c>
      <c r="D2469" s="3">
        <v>1.2396294000000001</v>
      </c>
      <c r="E2469" s="1">
        <v>0.18804920999999999</v>
      </c>
      <c r="F2469" s="2">
        <v>0.25092933000000001</v>
      </c>
    </row>
    <row r="2470" spans="1:6" x14ac:dyDescent="0.25">
      <c r="A2470" t="s">
        <v>8</v>
      </c>
      <c r="B2470" s="5" t="str">
        <f>HYPERLINK("http://www.broadinstitute.org/gsea/msigdb/cards/GOMF_5_3_EXONUCLEASE_ACTIVITY.html","GOMF_5_3_EXONUCLEASE_ACTIVITY")</f>
        <v>GOMF_5_3_EXONUCLEASE_ACTIVITY</v>
      </c>
      <c r="C2470" s="4">
        <v>19</v>
      </c>
      <c r="D2470" s="3">
        <v>1.2393959999999999</v>
      </c>
      <c r="E2470" s="1">
        <v>0.20677966</v>
      </c>
      <c r="F2470" s="2">
        <v>0.25114995000000001</v>
      </c>
    </row>
    <row r="2471" spans="1:6" x14ac:dyDescent="0.25">
      <c r="A2471" t="s">
        <v>6</v>
      </c>
      <c r="B2471" s="5" t="str">
        <f>HYPERLINK("http://www.broadinstitute.org/gsea/msigdb/cards/GOBP_RESPONSE_TO_ESTROGEN.html","GOBP_RESPONSE_TO_ESTROGEN")</f>
        <v>GOBP_RESPONSE_TO_ESTROGEN</v>
      </c>
      <c r="C2471" s="4">
        <v>55</v>
      </c>
      <c r="D2471" s="3">
        <v>1.2392369999999999</v>
      </c>
      <c r="E2471" s="1">
        <v>0.1407767</v>
      </c>
      <c r="F2471" s="2">
        <v>0.25127270000000002</v>
      </c>
    </row>
    <row r="2472" spans="1:6" x14ac:dyDescent="0.25">
      <c r="A2472" t="s">
        <v>6</v>
      </c>
      <c r="B2472" s="5" t="str">
        <f>HYPERLINK("http://www.broadinstitute.org/gsea/msigdb/cards/GOBP_NEGATIVE_REGULATION_OF_TRANSMEMBRANE_RECEPTOR_PROTEIN_SERINE_THREONINE_KINASE_SIGNALING_PATHWAY.html","GOBP_NEGATIVE_REGULATION_OF_TRANSMEMBRANE_RECEPTOR_PROTEIN_SERINE_THREONINE_KINASE_SIGNALING_PATHWAY")</f>
        <v>GOBP_NEGATIVE_REGULATION_OF_TRANSMEMBRANE_RECEPTOR_PROTEIN_SERINE_THREONINE_KINASE_SIGNALING_PATHWAY</v>
      </c>
      <c r="C2472" s="4">
        <v>146</v>
      </c>
      <c r="D2472" s="3">
        <v>1.2388797</v>
      </c>
      <c r="E2472" s="1">
        <v>8.2232009999999994E-2</v>
      </c>
      <c r="F2472" s="2">
        <v>0.25167846999999999</v>
      </c>
    </row>
    <row r="2473" spans="1:6" x14ac:dyDescent="0.25">
      <c r="A2473" t="s">
        <v>6</v>
      </c>
      <c r="B2473" s="5" t="str">
        <f>HYPERLINK("http://www.broadinstitute.org/gsea/msigdb/cards/GOBP_PYRIMIDINE_RIBONUCLEOTIDE_METABOLIC_PROCESS.html","GOBP_PYRIMIDINE_RIBONUCLEOTIDE_METABOLIC_PROCESS")</f>
        <v>GOBP_PYRIMIDINE_RIBONUCLEOTIDE_METABOLIC_PROCESS</v>
      </c>
      <c r="C2473" s="4">
        <v>28</v>
      </c>
      <c r="D2473" s="3">
        <v>1.2387954999999999</v>
      </c>
      <c r="E2473" s="1">
        <v>0.17508417000000001</v>
      </c>
      <c r="F2473" s="2">
        <v>0.25170353000000001</v>
      </c>
    </row>
    <row r="2474" spans="1:6" x14ac:dyDescent="0.25">
      <c r="A2474" t="s">
        <v>6</v>
      </c>
      <c r="B2474" s="5" t="str">
        <f>HYPERLINK("http://www.broadinstitute.org/gsea/msigdb/cards/GOBP_POSITIVE_REGULATION_OF_PROTEIN_ACETYLATION.html","GOBP_POSITIVE_REGULATION_OF_PROTEIN_ACETYLATION")</f>
        <v>GOBP_POSITIVE_REGULATION_OF_PROTEIN_ACETYLATION</v>
      </c>
      <c r="C2474" s="4">
        <v>29</v>
      </c>
      <c r="D2474" s="3">
        <v>1.2384002999999999</v>
      </c>
      <c r="E2474" s="1">
        <v>0.17264958</v>
      </c>
      <c r="F2474" s="2">
        <v>0.25217998000000003</v>
      </c>
    </row>
    <row r="2475" spans="1:6" x14ac:dyDescent="0.25">
      <c r="A2475" t="s">
        <v>6</v>
      </c>
      <c r="B2475" s="5" t="str">
        <f>HYPERLINK("http://www.broadinstitute.org/gsea/msigdb/cards/GOBP_POSITIVE_REGULATION_OF_CALCIUM_ION_IMPORT.html","GOBP_POSITIVE_REGULATION_OF_CALCIUM_ION_IMPORT")</f>
        <v>GOBP_POSITIVE_REGULATION_OF_CALCIUM_ION_IMPORT</v>
      </c>
      <c r="C2475" s="4">
        <v>17</v>
      </c>
      <c r="D2475" s="3">
        <v>1.2383002999999999</v>
      </c>
      <c r="E2475" s="1">
        <v>0.21441124</v>
      </c>
      <c r="F2475" s="2">
        <v>0.25222883000000001</v>
      </c>
    </row>
    <row r="2476" spans="1:6" x14ac:dyDescent="0.25">
      <c r="A2476" t="s">
        <v>6</v>
      </c>
      <c r="B2476" s="5" t="str">
        <f>HYPERLINK("http://www.broadinstitute.org/gsea/msigdb/cards/GOBP_POSITIVE_REGULATION_OF_SPROUTING_ANGIOGENESIS.html","GOBP_POSITIVE_REGULATION_OF_SPROUTING_ANGIOGENESIS")</f>
        <v>GOBP_POSITIVE_REGULATION_OF_SPROUTING_ANGIOGENESIS</v>
      </c>
      <c r="C2476" s="4">
        <v>23</v>
      </c>
      <c r="D2476" s="3">
        <v>1.2378868999999999</v>
      </c>
      <c r="E2476" s="1">
        <v>0.18373983999999999</v>
      </c>
      <c r="F2476" s="2">
        <v>0.25273624</v>
      </c>
    </row>
    <row r="2477" spans="1:6" x14ac:dyDescent="0.25">
      <c r="A2477" t="s">
        <v>10</v>
      </c>
      <c r="B2477" s="5" t="str">
        <f>HYPERLINK("http://www.broadinstitute.org/gsea/msigdb/cards/REACTOME_ARACHIDONIC_ACID_METABOLISM.html","REACTOME_ARACHIDONIC_ACID_METABOLISM")</f>
        <v>REACTOME_ARACHIDONIC_ACID_METABOLISM</v>
      </c>
      <c r="C2477" s="4">
        <v>50</v>
      </c>
      <c r="D2477" s="3">
        <v>1.2376183999999999</v>
      </c>
      <c r="E2477" s="1">
        <v>0.14666666</v>
      </c>
      <c r="F2477" s="2">
        <v>0.25305179999999999</v>
      </c>
    </row>
    <row r="2478" spans="1:6" x14ac:dyDescent="0.25">
      <c r="A2478" t="s">
        <v>6</v>
      </c>
      <c r="B2478" s="5" t="str">
        <f>HYPERLINK("http://www.broadinstitute.org/gsea/msigdb/cards/GOBP_MODULATION_BY_HOST_OF_SYMBIONT_PROCESS.html","GOBP_MODULATION_BY_HOST_OF_SYMBIONT_PROCESS")</f>
        <v>GOBP_MODULATION_BY_HOST_OF_SYMBIONT_PROCESS</v>
      </c>
      <c r="C2478" s="4">
        <v>78</v>
      </c>
      <c r="D2478" s="3">
        <v>1.2374254</v>
      </c>
      <c r="E2478" s="1">
        <v>0.12841092000000001</v>
      </c>
      <c r="F2478" s="2">
        <v>0.25324004999999999</v>
      </c>
    </row>
    <row r="2479" spans="1:6" x14ac:dyDescent="0.25">
      <c r="A2479" t="s">
        <v>6</v>
      </c>
      <c r="B2479" s="5" t="str">
        <f>HYPERLINK("http://www.broadinstitute.org/gsea/msigdb/cards/GOBP_BODY_FLUID_SECRETION.html","GOBP_BODY_FLUID_SECRETION")</f>
        <v>GOBP_BODY_FLUID_SECRETION</v>
      </c>
      <c r="C2479" s="4">
        <v>93</v>
      </c>
      <c r="D2479" s="3">
        <v>1.2371954999999999</v>
      </c>
      <c r="E2479" s="1">
        <v>9.9085370000000006E-2</v>
      </c>
      <c r="F2479" s="2">
        <v>0.25347452999999998</v>
      </c>
    </row>
    <row r="2480" spans="1:6" x14ac:dyDescent="0.25">
      <c r="A2480" t="s">
        <v>7</v>
      </c>
      <c r="B2480" s="5" t="str">
        <f>HYPERLINK("http://www.broadinstitute.org/gsea/msigdb/cards/GOCC_TRANS_GOLGI_NETWORK_MEMBRANE.html","GOCC_TRANS_GOLGI_NETWORK_MEMBRANE")</f>
        <v>GOCC_TRANS_GOLGI_NETWORK_MEMBRANE</v>
      </c>
      <c r="C2480" s="4">
        <v>52</v>
      </c>
      <c r="D2480" s="3">
        <v>1.2370205000000001</v>
      </c>
      <c r="E2480" s="1">
        <v>0.15359999999999999</v>
      </c>
      <c r="F2480" s="2">
        <v>0.25362630000000003</v>
      </c>
    </row>
    <row r="2481" spans="1:6" x14ac:dyDescent="0.25">
      <c r="A2481" t="s">
        <v>6</v>
      </c>
      <c r="B2481" s="5" t="str">
        <f>HYPERLINK("http://www.broadinstitute.org/gsea/msigdb/cards/GOBP_PEPTIDYL_THREONINE_MODIFICATION.html","GOBP_PEPTIDYL_THREONINE_MODIFICATION")</f>
        <v>GOBP_PEPTIDYL_THREONINE_MODIFICATION</v>
      </c>
      <c r="C2481" s="4">
        <v>119</v>
      </c>
      <c r="D2481" s="3">
        <v>1.2366128000000001</v>
      </c>
      <c r="E2481" s="1">
        <v>9.2375369999999998E-2</v>
      </c>
      <c r="F2481" s="2">
        <v>0.25412129999999999</v>
      </c>
    </row>
    <row r="2482" spans="1:6" x14ac:dyDescent="0.25">
      <c r="A2482" t="s">
        <v>7</v>
      </c>
      <c r="B2482" s="5" t="str">
        <f>HYPERLINK("http://www.broadinstitute.org/gsea/msigdb/cards/GOCC_APICAL_PLASMA_MEMBRANE.html","GOCC_APICAL_PLASMA_MEMBRANE")</f>
        <v>GOCC_APICAL_PLASMA_MEMBRANE</v>
      </c>
      <c r="C2482" s="4">
        <v>397</v>
      </c>
      <c r="D2482" s="3">
        <v>1.2365402000000001</v>
      </c>
      <c r="E2482" s="1">
        <v>3.9290242000000003E-2</v>
      </c>
      <c r="F2482" s="2">
        <v>0.25412901999999998</v>
      </c>
    </row>
    <row r="2483" spans="1:6" x14ac:dyDescent="0.25">
      <c r="A2483" t="s">
        <v>10</v>
      </c>
      <c r="B2483" s="5" t="str">
        <f>HYPERLINK("http://www.broadinstitute.org/gsea/msigdb/cards/REACTOME_IL_6_TYPE_CYTOKINE_RECEPTOR_LIGAND_INTERACTIONS.html","REACTOME_IL_6_TYPE_CYTOKINE_RECEPTOR_LIGAND_INTERACTIONS")</f>
        <v>REACTOME_IL_6_TYPE_CYTOKINE_RECEPTOR_LIGAND_INTERACTIONS</v>
      </c>
      <c r="C2483" s="4">
        <v>16</v>
      </c>
      <c r="D2483" s="3">
        <v>1.2362578</v>
      </c>
      <c r="E2483" s="1">
        <v>0.19491525000000001</v>
      </c>
      <c r="F2483" s="2">
        <v>0.25443915</v>
      </c>
    </row>
    <row r="2484" spans="1:6" x14ac:dyDescent="0.25">
      <c r="A2484" t="s">
        <v>6</v>
      </c>
      <c r="B2484" s="5" t="str">
        <f>HYPERLINK("http://www.broadinstitute.org/gsea/msigdb/cards/GOBP_AMIDE_TRANSPORT.html","GOBP_AMIDE_TRANSPORT")</f>
        <v>GOBP_AMIDE_TRANSPORT</v>
      </c>
      <c r="C2484" s="4">
        <v>411</v>
      </c>
      <c r="D2484" s="3">
        <v>1.2361038</v>
      </c>
      <c r="E2484" s="1">
        <v>3.2133676E-2</v>
      </c>
      <c r="F2484" s="2">
        <v>0.25456002</v>
      </c>
    </row>
    <row r="2485" spans="1:6" x14ac:dyDescent="0.25">
      <c r="A2485" t="s">
        <v>6</v>
      </c>
      <c r="B2485" s="5" t="str">
        <f>HYPERLINK("http://www.broadinstitute.org/gsea/msigdb/cards/GOBP_MEMBRANE_DOCKING.html","GOBP_MEMBRANE_DOCKING")</f>
        <v>GOBP_MEMBRANE_DOCKING</v>
      </c>
      <c r="C2485" s="4">
        <v>86</v>
      </c>
      <c r="D2485" s="3">
        <v>1.2357924</v>
      </c>
      <c r="E2485" s="1">
        <v>0.13210446000000001</v>
      </c>
      <c r="F2485" s="2">
        <v>0.25492197</v>
      </c>
    </row>
    <row r="2486" spans="1:6" x14ac:dyDescent="0.25">
      <c r="A2486" t="s">
        <v>6</v>
      </c>
      <c r="B2486" s="5" t="str">
        <f>HYPERLINK("http://www.broadinstitute.org/gsea/msigdb/cards/GOBP_ATRIOVENTRICULAR_VALVE_DEVELOPMENT.html","GOBP_ATRIOVENTRICULAR_VALVE_DEVELOPMENT")</f>
        <v>GOBP_ATRIOVENTRICULAR_VALVE_DEVELOPMENT</v>
      </c>
      <c r="C2486" s="4">
        <v>30</v>
      </c>
      <c r="D2486" s="3">
        <v>1.2355752</v>
      </c>
      <c r="E2486" s="1">
        <v>0.15041323000000001</v>
      </c>
      <c r="F2486" s="2">
        <v>0.25513356999999998</v>
      </c>
    </row>
    <row r="2487" spans="1:6" x14ac:dyDescent="0.25">
      <c r="A2487" t="s">
        <v>8</v>
      </c>
      <c r="B2487" s="5" t="str">
        <f>HYPERLINK("http://www.broadinstitute.org/gsea/msigdb/cards/GOMF_14_3_3_PROTEIN_BINDING.html","GOMF_14_3_3_PROTEIN_BINDING")</f>
        <v>GOMF_14_3_3_PROTEIN_BINDING</v>
      </c>
      <c r="C2487" s="4">
        <v>43</v>
      </c>
      <c r="D2487" s="3">
        <v>1.2350762</v>
      </c>
      <c r="E2487" s="1">
        <v>0.14918032000000001</v>
      </c>
      <c r="F2487" s="2">
        <v>0.25578079999999997</v>
      </c>
    </row>
    <row r="2488" spans="1:6" x14ac:dyDescent="0.25">
      <c r="A2488" t="s">
        <v>6</v>
      </c>
      <c r="B2488" s="5" t="str">
        <f>HYPERLINK("http://www.broadinstitute.org/gsea/msigdb/cards/GOBP_POSITIVE_REGULATION_OF_PEPTIDE_SECRETION.html","GOBP_POSITIVE_REGULATION_OF_PEPTIDE_SECRETION")</f>
        <v>GOBP_POSITIVE_REGULATION_OF_PEPTIDE_SECRETION</v>
      </c>
      <c r="C2488" s="4">
        <v>144</v>
      </c>
      <c r="D2488" s="3">
        <v>1.2350222</v>
      </c>
      <c r="E2488" s="1">
        <v>8.1232496000000001E-2</v>
      </c>
      <c r="F2488" s="2">
        <v>0.25575098000000002</v>
      </c>
    </row>
    <row r="2489" spans="1:6" x14ac:dyDescent="0.25">
      <c r="A2489" t="s">
        <v>6</v>
      </c>
      <c r="B2489" s="5" t="str">
        <f>HYPERLINK("http://www.broadinstitute.org/gsea/msigdb/cards/GOBP_SPONGIOTROPHOBLAST_LAYER_DEVELOPMENT.html","GOBP_SPONGIOTROPHOBLAST_LAYER_DEVELOPMENT")</f>
        <v>GOBP_SPONGIOTROPHOBLAST_LAYER_DEVELOPMENT</v>
      </c>
      <c r="C2489" s="4">
        <v>17</v>
      </c>
      <c r="D2489" s="3">
        <v>1.2339182</v>
      </c>
      <c r="E2489" s="1">
        <v>0.20797226999999999</v>
      </c>
      <c r="F2489" s="2">
        <v>0.25731894</v>
      </c>
    </row>
    <row r="2490" spans="1:6" x14ac:dyDescent="0.25">
      <c r="A2490" t="s">
        <v>6</v>
      </c>
      <c r="B2490" s="5" t="str">
        <f>HYPERLINK("http://www.broadinstitute.org/gsea/msigdb/cards/GOBP_RESPONSE_TO_NERVE_GROWTH_FACTOR.html","GOBP_RESPONSE_TO_NERVE_GROWTH_FACTOR")</f>
        <v>GOBP_RESPONSE_TO_NERVE_GROWTH_FACTOR</v>
      </c>
      <c r="C2490" s="4">
        <v>41</v>
      </c>
      <c r="D2490" s="3">
        <v>1.2337743000000001</v>
      </c>
      <c r="E2490" s="1">
        <v>0.15831988</v>
      </c>
      <c r="F2490" s="2">
        <v>0.25744467999999998</v>
      </c>
    </row>
    <row r="2491" spans="1:6" x14ac:dyDescent="0.25">
      <c r="A2491" t="s">
        <v>8</v>
      </c>
      <c r="B2491" s="5" t="str">
        <f>HYPERLINK("http://www.broadinstitute.org/gsea/msigdb/cards/GOMF_G_PROTEIN_COUPLED_GLUTAMATE_RECEPTOR_BINDING.html","GOMF_G_PROTEIN_COUPLED_GLUTAMATE_RECEPTOR_BINDING")</f>
        <v>GOMF_G_PROTEIN_COUPLED_GLUTAMATE_RECEPTOR_BINDING</v>
      </c>
      <c r="C2491" s="4">
        <v>15</v>
      </c>
      <c r="D2491" s="3">
        <v>1.2337028000000001</v>
      </c>
      <c r="E2491" s="1">
        <v>0.21258503000000001</v>
      </c>
      <c r="F2491" s="2">
        <v>0.25744299999999998</v>
      </c>
    </row>
    <row r="2492" spans="1:6" x14ac:dyDescent="0.25">
      <c r="A2492" t="s">
        <v>7</v>
      </c>
      <c r="B2492" s="5" t="str">
        <f>HYPERLINK("http://www.broadinstitute.org/gsea/msigdb/cards/GOCC_CLUSTER_OF_ACTIN_BASED_CELL_PROJECTIONS.html","GOCC_CLUSTER_OF_ACTIN_BASED_CELL_PROJECTIONS")</f>
        <v>GOCC_CLUSTER_OF_ACTIN_BASED_CELL_PROJECTIONS</v>
      </c>
      <c r="C2492" s="4">
        <v>200</v>
      </c>
      <c r="D2492" s="3">
        <v>1.2335886</v>
      </c>
      <c r="E2492" s="1">
        <v>5.6241426999999997E-2</v>
      </c>
      <c r="F2492" s="2">
        <v>0.25750148</v>
      </c>
    </row>
    <row r="2493" spans="1:6" x14ac:dyDescent="0.25">
      <c r="A2493" t="s">
        <v>7</v>
      </c>
      <c r="B2493" s="5" t="str">
        <f>HYPERLINK("http://www.broadinstitute.org/gsea/msigdb/cards/GOCC_CLATHRIN_COAT_OF_COATED_PIT.html","GOCC_CLATHRIN_COAT_OF_COATED_PIT")</f>
        <v>GOCC_CLATHRIN_COAT_OF_COATED_PIT</v>
      </c>
      <c r="C2493" s="4">
        <v>19</v>
      </c>
      <c r="D2493" s="3">
        <v>1.2333723999999999</v>
      </c>
      <c r="E2493" s="1">
        <v>0.19270833000000001</v>
      </c>
      <c r="F2493" s="2">
        <v>0.25772785999999998</v>
      </c>
    </row>
    <row r="2494" spans="1:6" x14ac:dyDescent="0.25">
      <c r="A2494" t="s">
        <v>7</v>
      </c>
      <c r="B2494" s="5" t="str">
        <f>HYPERLINK("http://www.broadinstitute.org/gsea/msigdb/cards/GOCC_CORTICAL_ACTIN_CYTOSKELETON.html","GOCC_CORTICAL_ACTIN_CYTOSKELETON")</f>
        <v>GOCC_CORTICAL_ACTIN_CYTOSKELETON</v>
      </c>
      <c r="C2494" s="4">
        <v>83</v>
      </c>
      <c r="D2494" s="3">
        <v>1.2333314</v>
      </c>
      <c r="E2494" s="1">
        <v>0.11305732</v>
      </c>
      <c r="F2494" s="2">
        <v>0.25768740000000001</v>
      </c>
    </row>
    <row r="2495" spans="1:6" x14ac:dyDescent="0.25">
      <c r="A2495" t="s">
        <v>6</v>
      </c>
      <c r="B2495" s="5" t="str">
        <f>HYPERLINK("http://www.broadinstitute.org/gsea/msigdb/cards/GOBP_SPHINGOLIPID_BIOSYNTHETIC_PROCESS.html","GOBP_SPHINGOLIPID_BIOSYNTHETIC_PROCESS")</f>
        <v>GOBP_SPHINGOLIPID_BIOSYNTHETIC_PROCESS</v>
      </c>
      <c r="C2495" s="4">
        <v>96</v>
      </c>
      <c r="D2495" s="3">
        <v>1.2330238</v>
      </c>
      <c r="E2495" s="1">
        <v>0.124430954</v>
      </c>
      <c r="F2495" s="2">
        <v>0.25804827000000002</v>
      </c>
    </row>
    <row r="2496" spans="1:6" x14ac:dyDescent="0.25">
      <c r="A2496" t="s">
        <v>6</v>
      </c>
      <c r="B2496" s="5" t="str">
        <f>HYPERLINK("http://www.broadinstitute.org/gsea/msigdb/cards/GOBP_ARGININE_METABOLIC_PROCESS.html","GOBP_ARGININE_METABOLIC_PROCESS")</f>
        <v>GOBP_ARGININE_METABOLIC_PROCESS</v>
      </c>
      <c r="C2496" s="4">
        <v>18</v>
      </c>
      <c r="D2496" s="3">
        <v>1.2329581999999999</v>
      </c>
      <c r="E2496" s="1">
        <v>0.20272572</v>
      </c>
      <c r="F2496" s="2">
        <v>0.25804549999999998</v>
      </c>
    </row>
    <row r="2497" spans="1:6" x14ac:dyDescent="0.25">
      <c r="A2497" t="s">
        <v>10</v>
      </c>
      <c r="B2497" s="5" t="str">
        <f>HYPERLINK("http://www.broadinstitute.org/gsea/msigdb/cards/REACTOME_CLASS_I_MHC_MEDIATED_ANTIGEN_PROCESSING_PRESENTATION.html","REACTOME_CLASS_I_MHC_MEDIATED_ANTIGEN_PROCESSING_PRESENTATION")</f>
        <v>REACTOME_CLASS_I_MHC_MEDIATED_ANTIGEN_PROCESSING_PRESENTATION</v>
      </c>
      <c r="C2497" s="4">
        <v>344</v>
      </c>
      <c r="D2497" s="3">
        <v>1.2322214</v>
      </c>
      <c r="E2497" s="1">
        <v>5.4666670000000001E-2</v>
      </c>
      <c r="F2497" s="2">
        <v>0.25905107999999999</v>
      </c>
    </row>
    <row r="2498" spans="1:6" x14ac:dyDescent="0.25">
      <c r="A2498" t="s">
        <v>10</v>
      </c>
      <c r="B2498" s="5" t="str">
        <f>HYPERLINK("http://www.broadinstitute.org/gsea/msigdb/cards/REACTOME_PEPTIDE_HORMONE_METABOLISM.html","REACTOME_PEPTIDE_HORMONE_METABOLISM")</f>
        <v>REACTOME_PEPTIDE_HORMONE_METABOLISM</v>
      </c>
      <c r="C2498" s="4">
        <v>51</v>
      </c>
      <c r="D2498" s="3">
        <v>1.2318431000000001</v>
      </c>
      <c r="E2498" s="1">
        <v>0.15397630000000001</v>
      </c>
      <c r="F2498" s="2">
        <v>0.25955093000000001</v>
      </c>
    </row>
    <row r="2499" spans="1:6" x14ac:dyDescent="0.25">
      <c r="A2499" t="s">
        <v>11</v>
      </c>
      <c r="B2499" s="5" t="str">
        <f>HYPERLINK("http://www.broadinstitute.org/gsea/msigdb/cards/WP_PPAR_SIGNALING_PATHWAY.html","WP_PPAR_SIGNALING_PATHWAY")</f>
        <v>WP_PPAR_SIGNALING_PATHWAY</v>
      </c>
      <c r="C2499" s="4">
        <v>75</v>
      </c>
      <c r="D2499" s="3">
        <v>1.2318123999999999</v>
      </c>
      <c r="E2499" s="1">
        <v>0.12345679</v>
      </c>
      <c r="F2499" s="2">
        <v>0.25948599999999999</v>
      </c>
    </row>
    <row r="2500" spans="1:6" x14ac:dyDescent="0.25">
      <c r="A2500" t="s">
        <v>6</v>
      </c>
      <c r="B2500" s="5" t="str">
        <f>HYPERLINK("http://www.broadinstitute.org/gsea/msigdb/cards/GOBP_NEGATIVE_REGULATION_OF_OXIDOREDUCTASE_ACTIVITY.html","GOBP_NEGATIVE_REGULATION_OF_OXIDOREDUCTASE_ACTIVITY")</f>
        <v>GOBP_NEGATIVE_REGULATION_OF_OXIDOREDUCTASE_ACTIVITY</v>
      </c>
      <c r="C2500" s="4">
        <v>25</v>
      </c>
      <c r="D2500" s="3">
        <v>1.2315676</v>
      </c>
      <c r="E2500" s="1">
        <v>0.17555939000000001</v>
      </c>
      <c r="F2500" s="2">
        <v>0.25978132999999998</v>
      </c>
    </row>
    <row r="2501" spans="1:6" x14ac:dyDescent="0.25">
      <c r="A2501" t="s">
        <v>6</v>
      </c>
      <c r="B2501" s="5" t="str">
        <f>HYPERLINK("http://www.broadinstitute.org/gsea/msigdb/cards/GOBP_REGULATION_OF_SYNAPTIC_VESICLE_ENDOCYTOSIS.html","GOBP_REGULATION_OF_SYNAPTIC_VESICLE_ENDOCYTOSIS")</f>
        <v>GOBP_REGULATION_OF_SYNAPTIC_VESICLE_ENDOCYTOSIS</v>
      </c>
      <c r="C2501" s="4">
        <v>28</v>
      </c>
      <c r="D2501" s="3">
        <v>1.2311896</v>
      </c>
      <c r="E2501" s="1">
        <v>0.1773913</v>
      </c>
      <c r="F2501" s="2">
        <v>0.26026168</v>
      </c>
    </row>
    <row r="2502" spans="1:6" x14ac:dyDescent="0.25">
      <c r="A2502" t="s">
        <v>6</v>
      </c>
      <c r="B2502" s="5" t="str">
        <f>HYPERLINK("http://www.broadinstitute.org/gsea/msigdb/cards/GOBP_NEGATIVE_REGULATION_OF_EPITHELIAL_CELL_APOPTOTIC_PROCESS.html","GOBP_NEGATIVE_REGULATION_OF_EPITHELIAL_CELL_APOPTOTIC_PROCESS")</f>
        <v>GOBP_NEGATIVE_REGULATION_OF_EPITHELIAL_CELL_APOPTOTIC_PROCESS</v>
      </c>
      <c r="C2502" s="4">
        <v>75</v>
      </c>
      <c r="D2502" s="3">
        <v>1.2309802999999999</v>
      </c>
      <c r="E2502" s="1">
        <v>0.12324493</v>
      </c>
      <c r="F2502" s="2">
        <v>0.26045289999999999</v>
      </c>
    </row>
    <row r="2503" spans="1:6" x14ac:dyDescent="0.25">
      <c r="A2503" t="s">
        <v>6</v>
      </c>
      <c r="B2503" s="5" t="str">
        <f>HYPERLINK("http://www.broadinstitute.org/gsea/msigdb/cards/GOBP_SENSORY_PERCEPTION_OF_PAIN.html","GOBP_SENSORY_PERCEPTION_OF_PAIN")</f>
        <v>GOBP_SENSORY_PERCEPTION_OF_PAIN</v>
      </c>
      <c r="C2503" s="4">
        <v>91</v>
      </c>
      <c r="D2503" s="3">
        <v>1.2308218</v>
      </c>
      <c r="E2503" s="1">
        <v>0.11269841</v>
      </c>
      <c r="F2503" s="2">
        <v>0.26057755999999999</v>
      </c>
    </row>
    <row r="2504" spans="1:6" x14ac:dyDescent="0.25">
      <c r="A2504" t="s">
        <v>6</v>
      </c>
      <c r="B2504" s="5" t="str">
        <f>HYPERLINK("http://www.broadinstitute.org/gsea/msigdb/cards/GOBP_POSTSYNAPTIC_ACTIN_CYTOSKELETON_ORGANIZATION.html","GOBP_POSTSYNAPTIC_ACTIN_CYTOSKELETON_ORGANIZATION")</f>
        <v>GOBP_POSTSYNAPTIC_ACTIN_CYTOSKELETON_ORGANIZATION</v>
      </c>
      <c r="C2504" s="4">
        <v>23</v>
      </c>
      <c r="D2504" s="3">
        <v>1.2307847999999999</v>
      </c>
      <c r="E2504" s="1">
        <v>0.18576390000000001</v>
      </c>
      <c r="F2504" s="2">
        <v>0.26052882999999999</v>
      </c>
    </row>
    <row r="2505" spans="1:6" x14ac:dyDescent="0.25">
      <c r="A2505" t="s">
        <v>6</v>
      </c>
      <c r="B2505" s="5" t="str">
        <f>HYPERLINK("http://www.broadinstitute.org/gsea/msigdb/cards/GOBP_TRIGLYCERIDE_BIOSYNTHETIC_PROCESS.html","GOBP_TRIGLYCERIDE_BIOSYNTHETIC_PROCESS")</f>
        <v>GOBP_TRIGLYCERIDE_BIOSYNTHETIC_PROCESS</v>
      </c>
      <c r="C2505" s="4">
        <v>45</v>
      </c>
      <c r="D2505" s="3">
        <v>1.2307326999999999</v>
      </c>
      <c r="E2505" s="1">
        <v>0.13458529</v>
      </c>
      <c r="F2505" s="2">
        <v>0.26051175999999998</v>
      </c>
    </row>
    <row r="2506" spans="1:6" x14ac:dyDescent="0.25">
      <c r="A2506" t="s">
        <v>6</v>
      </c>
      <c r="B2506" s="5" t="str">
        <f>HYPERLINK("http://www.broadinstitute.org/gsea/msigdb/cards/GOBP_ENDOCHONDRAL_BONE_MORPHOGENESIS.html","GOBP_ENDOCHONDRAL_BONE_MORPHOGENESIS")</f>
        <v>GOBP_ENDOCHONDRAL_BONE_MORPHOGENESIS</v>
      </c>
      <c r="C2506" s="4">
        <v>69</v>
      </c>
      <c r="D2506" s="3">
        <v>1.2305630000000001</v>
      </c>
      <c r="E2506" s="1">
        <v>0.13028765</v>
      </c>
      <c r="F2506" s="2">
        <v>0.26066244</v>
      </c>
    </row>
    <row r="2507" spans="1:6" x14ac:dyDescent="0.25">
      <c r="A2507" t="s">
        <v>6</v>
      </c>
      <c r="B2507" s="5" t="str">
        <f>HYPERLINK("http://www.broadinstitute.org/gsea/msigdb/cards/GOBP_OVULATION.html","GOBP_OVULATION")</f>
        <v>GOBP_OVULATION</v>
      </c>
      <c r="C2507" s="4">
        <v>22</v>
      </c>
      <c r="D2507" s="3">
        <v>1.2304896000000001</v>
      </c>
      <c r="E2507" s="1">
        <v>0.19298245</v>
      </c>
      <c r="F2507" s="2">
        <v>0.26066731999999998</v>
      </c>
    </row>
    <row r="2508" spans="1:6" x14ac:dyDescent="0.25">
      <c r="A2508" t="s">
        <v>8</v>
      </c>
      <c r="B2508" s="5" t="str">
        <f>HYPERLINK("http://www.broadinstitute.org/gsea/msigdb/cards/GOMF_EXONUCLEASE_ACTIVITY.html","GOMF_EXONUCLEASE_ACTIVITY")</f>
        <v>GOMF_EXONUCLEASE_ACTIVITY</v>
      </c>
      <c r="C2508" s="4">
        <v>75</v>
      </c>
      <c r="D2508" s="3">
        <v>1.2292782</v>
      </c>
      <c r="E2508" s="1">
        <v>0.1163522</v>
      </c>
      <c r="F2508" s="2">
        <v>0.26235744</v>
      </c>
    </row>
    <row r="2509" spans="1:6" x14ac:dyDescent="0.25">
      <c r="A2509" t="s">
        <v>7</v>
      </c>
      <c r="B2509" s="5" t="str">
        <f>HYPERLINK("http://www.broadinstitute.org/gsea/msigdb/cards/GOCC_RNA_POLYMERASE_II_TRANSCRIPTION_REPRESSOR_COMPLEX.html","GOCC_RNA_POLYMERASE_II_TRANSCRIPTION_REPRESSOR_COMPLEX")</f>
        <v>GOCC_RNA_POLYMERASE_II_TRANSCRIPTION_REPRESSOR_COMPLEX</v>
      </c>
      <c r="C2509" s="4">
        <v>18</v>
      </c>
      <c r="D2509" s="3">
        <v>1.2292219</v>
      </c>
      <c r="E2509" s="1">
        <v>0.18260870000000001</v>
      </c>
      <c r="F2509" s="2">
        <v>0.26233013999999999</v>
      </c>
    </row>
    <row r="2510" spans="1:6" x14ac:dyDescent="0.25">
      <c r="A2510" t="s">
        <v>7</v>
      </c>
      <c r="B2510" s="5" t="str">
        <f>HYPERLINK("http://www.broadinstitute.org/gsea/msigdb/cards/GOCC_ADHERENS_JUNCTION.html","GOCC_ADHERENS_JUNCTION")</f>
        <v>GOCC_ADHERENS_JUNCTION</v>
      </c>
      <c r="C2510" s="4">
        <v>154</v>
      </c>
      <c r="D2510" s="3">
        <v>1.2291098</v>
      </c>
      <c r="E2510" s="1">
        <v>8.4848486000000001E-2</v>
      </c>
      <c r="F2510" s="2">
        <v>0.26239973</v>
      </c>
    </row>
    <row r="2511" spans="1:6" x14ac:dyDescent="0.25">
      <c r="A2511" t="s">
        <v>6</v>
      </c>
      <c r="B2511" s="5" t="str">
        <f>HYPERLINK("http://www.broadinstitute.org/gsea/msigdb/cards/GOBP_NEGATIVE_REGULATION_OF_INTRINSIC_APOPTOTIC_SIGNALING_PATHWAY_IN_RESPONSE_TO_DNA_DAMAGE.html","GOBP_NEGATIVE_REGULATION_OF_INTRINSIC_APOPTOTIC_SIGNALING_PATHWAY_IN_RESPONSE_TO_DNA_DAMAGE")</f>
        <v>GOBP_NEGATIVE_REGULATION_OF_INTRINSIC_APOPTOTIC_SIGNALING_PATHWAY_IN_RESPONSE_TO_DNA_DAMAGE</v>
      </c>
      <c r="C2511" s="4">
        <v>26</v>
      </c>
      <c r="D2511" s="3">
        <v>1.228831</v>
      </c>
      <c r="E2511" s="1">
        <v>0.18</v>
      </c>
      <c r="F2511" s="2">
        <v>0.26270986000000002</v>
      </c>
    </row>
    <row r="2512" spans="1:6" x14ac:dyDescent="0.25">
      <c r="A2512" t="s">
        <v>6</v>
      </c>
      <c r="B2512" s="5" t="str">
        <f>HYPERLINK("http://www.broadinstitute.org/gsea/msigdb/cards/GOBP_CARBOHYDRATE_BIOSYNTHETIC_PROCESS.html","GOBP_CARBOHYDRATE_BIOSYNTHETIC_PROCESS")</f>
        <v>GOBP_CARBOHYDRATE_BIOSYNTHETIC_PROCESS</v>
      </c>
      <c r="C2512" s="4">
        <v>204</v>
      </c>
      <c r="D2512" s="3">
        <v>1.2285855000000001</v>
      </c>
      <c r="E2512" s="1">
        <v>7.1236560000000004E-2</v>
      </c>
      <c r="F2512" s="2">
        <v>0.26297920000000002</v>
      </c>
    </row>
    <row r="2513" spans="1:6" x14ac:dyDescent="0.25">
      <c r="A2513" t="s">
        <v>11</v>
      </c>
      <c r="B2513" s="5" t="str">
        <f>HYPERLINK("http://www.broadinstitute.org/gsea/msigdb/cards/WP_GPCRS_CLASS_C_METABOTROPIC_GLUTAMATE_PHEROMONE.html","WP_GPCRS_CLASS_C_METABOTROPIC_GLUTAMATE_PHEROMONE")</f>
        <v>WP_GPCRS_CLASS_C_METABOTROPIC_GLUTAMATE_PHEROMONE</v>
      </c>
      <c r="C2513" s="4">
        <v>15</v>
      </c>
      <c r="D2513" s="3">
        <v>1.2283573000000001</v>
      </c>
      <c r="E2513" s="1">
        <v>0.19584055</v>
      </c>
      <c r="F2513" s="2">
        <v>0.26322772999999999</v>
      </c>
    </row>
    <row r="2514" spans="1:6" x14ac:dyDescent="0.25">
      <c r="A2514" t="s">
        <v>10</v>
      </c>
      <c r="B2514" s="5" t="str">
        <f>HYPERLINK("http://www.broadinstitute.org/gsea/msigdb/cards/REACTOME_RHOU_GTPASE_CYCLE.html","REACTOME_RHOU_GTPASE_CYCLE")</f>
        <v>REACTOME_RHOU_GTPASE_CYCLE</v>
      </c>
      <c r="C2514" s="4">
        <v>39</v>
      </c>
      <c r="D2514" s="3">
        <v>1.2282867</v>
      </c>
      <c r="E2514" s="1">
        <v>0.16666666999999999</v>
      </c>
      <c r="F2514" s="2">
        <v>0.26322963999999999</v>
      </c>
    </row>
    <row r="2515" spans="1:6" x14ac:dyDescent="0.25">
      <c r="A2515" t="s">
        <v>6</v>
      </c>
      <c r="B2515" s="5" t="str">
        <f>HYPERLINK("http://www.broadinstitute.org/gsea/msigdb/cards/GOBP_REGULATION_OF_CALCIUM_ION_IMPORT.html","GOBP_REGULATION_OF_CALCIUM_ION_IMPORT")</f>
        <v>GOBP_REGULATION_OF_CALCIUM_ION_IMPORT</v>
      </c>
      <c r="C2515" s="4">
        <v>33</v>
      </c>
      <c r="D2515" s="3">
        <v>1.2280082999999999</v>
      </c>
      <c r="E2515" s="1">
        <v>0.16020234999999999</v>
      </c>
      <c r="F2515" s="2">
        <v>0.26353877999999997</v>
      </c>
    </row>
    <row r="2516" spans="1:6" x14ac:dyDescent="0.25">
      <c r="A2516" t="s">
        <v>10</v>
      </c>
      <c r="B2516" s="5" t="str">
        <f>HYPERLINK("http://www.broadinstitute.org/gsea/msigdb/cards/REACTOME_HEPARAN_SULFATE_HEPARIN_HS_GAG_METABOLISM.html","REACTOME_HEPARAN_SULFATE_HEPARIN_HS_GAG_METABOLISM")</f>
        <v>REACTOME_HEPARAN_SULFATE_HEPARIN_HS_GAG_METABOLISM</v>
      </c>
      <c r="C2516" s="4">
        <v>53</v>
      </c>
      <c r="D2516" s="3">
        <v>1.2278777000000001</v>
      </c>
      <c r="E2516" s="1">
        <v>0.14611872000000001</v>
      </c>
      <c r="F2516" s="2">
        <v>0.26362469999999999</v>
      </c>
    </row>
    <row r="2517" spans="1:6" x14ac:dyDescent="0.25">
      <c r="A2517" t="s">
        <v>6</v>
      </c>
      <c r="B2517" s="5" t="str">
        <f>HYPERLINK("http://www.broadinstitute.org/gsea/msigdb/cards/GOBP_GMP_BIOSYNTHETIC_PROCESS.html","GOBP_GMP_BIOSYNTHETIC_PROCESS")</f>
        <v>GOBP_GMP_BIOSYNTHETIC_PROCESS</v>
      </c>
      <c r="C2517" s="4">
        <v>16</v>
      </c>
      <c r="D2517" s="3">
        <v>1.2275803000000001</v>
      </c>
      <c r="E2517" s="1">
        <v>0.20253165000000001</v>
      </c>
      <c r="F2517" s="2">
        <v>0.26399763999999998</v>
      </c>
    </row>
    <row r="2518" spans="1:6" x14ac:dyDescent="0.25">
      <c r="A2518" t="s">
        <v>6</v>
      </c>
      <c r="B2518" s="5" t="str">
        <f>HYPERLINK("http://www.broadinstitute.org/gsea/msigdb/cards/GOBP_RESPONSE_TO_HEAT.html","GOBP_RESPONSE_TO_HEAT")</f>
        <v>GOBP_RESPONSE_TO_HEAT</v>
      </c>
      <c r="C2518" s="4">
        <v>89</v>
      </c>
      <c r="D2518" s="3">
        <v>1.2275212</v>
      </c>
      <c r="E2518" s="1">
        <v>0.11058452000000001</v>
      </c>
      <c r="F2518" s="2">
        <v>0.26398440000000001</v>
      </c>
    </row>
    <row r="2519" spans="1:6" x14ac:dyDescent="0.25">
      <c r="A2519" t="s">
        <v>6</v>
      </c>
      <c r="B2519" s="5" t="str">
        <f>HYPERLINK("http://www.broadinstitute.org/gsea/msigdb/cards/GOBP_REGULATION_OF_HORMONE_SECRETION.html","GOBP_REGULATION_OF_HORMONE_SECRETION")</f>
        <v>GOBP_REGULATION_OF_HORMONE_SECRETION</v>
      </c>
      <c r="C2519" s="4">
        <v>318</v>
      </c>
      <c r="D2519" s="3">
        <v>1.2273372</v>
      </c>
      <c r="E2519" s="1">
        <v>5.6356485999999997E-2</v>
      </c>
      <c r="F2519" s="2">
        <v>0.26416339999999999</v>
      </c>
    </row>
    <row r="2520" spans="1:6" x14ac:dyDescent="0.25">
      <c r="A2520" t="s">
        <v>6</v>
      </c>
      <c r="B2520" s="5" t="str">
        <f>HYPERLINK("http://www.broadinstitute.org/gsea/msigdb/cards/GOBP_REGULATION_OF_GTP_BINDING.html","GOBP_REGULATION_OF_GTP_BINDING")</f>
        <v>GOBP_REGULATION_OF_GTP_BINDING</v>
      </c>
      <c r="C2520" s="4">
        <v>21</v>
      </c>
      <c r="D2520" s="3">
        <v>1.2271936000000001</v>
      </c>
      <c r="E2520" s="1">
        <v>0.2</v>
      </c>
      <c r="F2520" s="2">
        <v>0.26427270000000003</v>
      </c>
    </row>
    <row r="2521" spans="1:6" x14ac:dyDescent="0.25">
      <c r="A2521" t="s">
        <v>6</v>
      </c>
      <c r="B2521" s="5" t="str">
        <f>HYPERLINK("http://www.broadinstitute.org/gsea/msigdb/cards/GOBP_CELLULAR_MODIFIED_AMINO_ACID_METABOLIC_PROCESS.html","GOBP_CELLULAR_MODIFIED_AMINO_ACID_METABOLIC_PROCESS")</f>
        <v>GOBP_CELLULAR_MODIFIED_AMINO_ACID_METABOLIC_PROCESS</v>
      </c>
      <c r="C2521" s="4">
        <v>121</v>
      </c>
      <c r="D2521" s="3">
        <v>1.2266083000000001</v>
      </c>
      <c r="E2521" s="1">
        <v>0.11587982600000001</v>
      </c>
      <c r="F2521" s="2">
        <v>0.26507059999999999</v>
      </c>
    </row>
    <row r="2522" spans="1:6" x14ac:dyDescent="0.25">
      <c r="A2522" t="s">
        <v>6</v>
      </c>
      <c r="B2522" s="5" t="str">
        <f>HYPERLINK("http://www.broadinstitute.org/gsea/msigdb/cards/GOBP_REGULATION_OF_MORPHOGENESIS_OF_AN_EPITHELIUM.html","GOBP_REGULATION_OF_MORPHOGENESIS_OF_AN_EPITHELIUM")</f>
        <v>GOBP_REGULATION_OF_MORPHOGENESIS_OF_AN_EPITHELIUM</v>
      </c>
      <c r="C2522" s="4">
        <v>73</v>
      </c>
      <c r="D2522" s="3">
        <v>1.2263501000000001</v>
      </c>
      <c r="E2522" s="1">
        <v>0.13592233000000001</v>
      </c>
      <c r="F2522" s="2">
        <v>0.26536124999999999</v>
      </c>
    </row>
    <row r="2523" spans="1:6" x14ac:dyDescent="0.25">
      <c r="A2523" t="s">
        <v>6</v>
      </c>
      <c r="B2523" s="5" t="str">
        <f>HYPERLINK("http://www.broadinstitute.org/gsea/msigdb/cards/GOBP_MEMBRANE_LIPID_METABOLIC_PROCESS.html","GOBP_MEMBRANE_LIPID_METABOLIC_PROCESS")</f>
        <v>GOBP_MEMBRANE_LIPID_METABOLIC_PROCESS</v>
      </c>
      <c r="C2523" s="4">
        <v>185</v>
      </c>
      <c r="D2523" s="3">
        <v>1.2263107</v>
      </c>
      <c r="E2523" s="1">
        <v>7.4344023999999995E-2</v>
      </c>
      <c r="F2523" s="2">
        <v>0.26531484999999999</v>
      </c>
    </row>
    <row r="2524" spans="1:6" x14ac:dyDescent="0.25">
      <c r="A2524" t="s">
        <v>6</v>
      </c>
      <c r="B2524" s="5" t="str">
        <f>HYPERLINK("http://www.broadinstitute.org/gsea/msigdb/cards/GOBP_CERAMIDE_CATABOLIC_PROCESS.html","GOBP_CERAMIDE_CATABOLIC_PROCESS")</f>
        <v>GOBP_CERAMIDE_CATABOLIC_PROCESS</v>
      </c>
      <c r="C2524" s="4">
        <v>19</v>
      </c>
      <c r="D2524" s="3">
        <v>1.2261112000000001</v>
      </c>
      <c r="E2524" s="1">
        <v>0.2197615</v>
      </c>
      <c r="F2524" s="2">
        <v>0.26551439999999998</v>
      </c>
    </row>
    <row r="2525" spans="1:6" x14ac:dyDescent="0.25">
      <c r="A2525" t="s">
        <v>7</v>
      </c>
      <c r="B2525" s="5" t="str">
        <f>HYPERLINK("http://www.broadinstitute.org/gsea/msigdb/cards/GOCC_POSTSYNAPTIC_SPECIALIZATION_INTRACELLULAR_COMPONENT.html","GOCC_POSTSYNAPTIC_SPECIALIZATION_INTRACELLULAR_COMPONENT")</f>
        <v>GOCC_POSTSYNAPTIC_SPECIALIZATION_INTRACELLULAR_COMPONENT</v>
      </c>
      <c r="C2525" s="4">
        <v>50</v>
      </c>
      <c r="D2525" s="3">
        <v>1.2259376</v>
      </c>
      <c r="E2525" s="1">
        <v>0.16077169999999999</v>
      </c>
      <c r="F2525" s="2">
        <v>0.26566679999999998</v>
      </c>
    </row>
    <row r="2526" spans="1:6" x14ac:dyDescent="0.25">
      <c r="A2526" t="s">
        <v>6</v>
      </c>
      <c r="B2526" s="5" t="str">
        <f>HYPERLINK("http://www.broadinstitute.org/gsea/msigdb/cards/GOBP_NEUTRAL_LIPID_BIOSYNTHETIC_PROCESS.html","GOBP_NEUTRAL_LIPID_BIOSYNTHETIC_PROCESS")</f>
        <v>GOBP_NEUTRAL_LIPID_BIOSYNTHETIC_PROCESS</v>
      </c>
      <c r="C2526" s="4">
        <v>56</v>
      </c>
      <c r="D2526" s="3">
        <v>1.2259196999999999</v>
      </c>
      <c r="E2526" s="1">
        <v>0.17292005999999999</v>
      </c>
      <c r="F2526" s="2">
        <v>0.26559114</v>
      </c>
    </row>
    <row r="2527" spans="1:6" x14ac:dyDescent="0.25">
      <c r="A2527" t="s">
        <v>6</v>
      </c>
      <c r="B2527" s="5" t="str">
        <f>HYPERLINK("http://www.broadinstitute.org/gsea/msigdb/cards/GOBP_HEPATOCYTE_APOPTOTIC_PROCESS.html","GOBP_HEPATOCYTE_APOPTOTIC_PROCESS")</f>
        <v>GOBP_HEPATOCYTE_APOPTOTIC_PROCESS</v>
      </c>
      <c r="C2527" s="4">
        <v>24</v>
      </c>
      <c r="D2527" s="3">
        <v>1.2256304</v>
      </c>
      <c r="E2527" s="1">
        <v>0.20469798</v>
      </c>
      <c r="F2527" s="2">
        <v>0.26590360000000002</v>
      </c>
    </row>
    <row r="2528" spans="1:6" x14ac:dyDescent="0.25">
      <c r="A2528" t="s">
        <v>8</v>
      </c>
      <c r="B2528" s="5" t="str">
        <f>HYPERLINK("http://www.broadinstitute.org/gsea/msigdb/cards/GOMF_METAL_CATION_PROTON_ANTIPORTER_ACTIVITY.html","GOMF_METAL_CATION_PROTON_ANTIPORTER_ACTIVITY")</f>
        <v>GOMF_METAL_CATION_PROTON_ANTIPORTER_ACTIVITY</v>
      </c>
      <c r="C2528" s="4">
        <v>23</v>
      </c>
      <c r="D2528" s="3">
        <v>1.225622</v>
      </c>
      <c r="E2528" s="1">
        <v>0.18165785000000001</v>
      </c>
      <c r="F2528" s="2">
        <v>0.26581204000000003</v>
      </c>
    </row>
    <row r="2529" spans="1:6" x14ac:dyDescent="0.25">
      <c r="A2529" t="s">
        <v>6</v>
      </c>
      <c r="B2529" s="5" t="str">
        <f>HYPERLINK("http://www.broadinstitute.org/gsea/msigdb/cards/GOBP_REGULATION_OF_GLUCOSE_IMPORT.html","GOBP_REGULATION_OF_GLUCOSE_IMPORT")</f>
        <v>GOBP_REGULATION_OF_GLUCOSE_IMPORT</v>
      </c>
      <c r="C2529" s="4">
        <v>65</v>
      </c>
      <c r="D2529" s="3">
        <v>1.2255735000000001</v>
      </c>
      <c r="E2529" s="1">
        <v>0.13636364000000001</v>
      </c>
      <c r="F2529" s="2">
        <v>0.26577460000000003</v>
      </c>
    </row>
    <row r="2530" spans="1:6" x14ac:dyDescent="0.25">
      <c r="A2530" t="s">
        <v>10</v>
      </c>
      <c r="B2530" s="5" t="str">
        <f>HYPERLINK("http://www.broadinstitute.org/gsea/msigdb/cards/REACTOME_MHC_CLASS_II_ANTIGEN_PRESENTATION.html","REACTOME_MHC_CLASS_II_ANTIGEN_PRESENTATION")</f>
        <v>REACTOME_MHC_CLASS_II_ANTIGEN_PRESENTATION</v>
      </c>
      <c r="C2530" s="4">
        <v>110</v>
      </c>
      <c r="D2530" s="3">
        <v>1.2255293</v>
      </c>
      <c r="E2530" s="1">
        <v>0.115727</v>
      </c>
      <c r="F2530" s="2">
        <v>0.26573720000000001</v>
      </c>
    </row>
    <row r="2531" spans="1:6" x14ac:dyDescent="0.25">
      <c r="A2531" t="s">
        <v>6</v>
      </c>
      <c r="B2531" s="5" t="str">
        <f>HYPERLINK("http://www.broadinstitute.org/gsea/msigdb/cards/GOBP_MULTICELLULAR_ORGANISMAL_RESPONSE_TO_STRESS.html","GOBP_MULTICELLULAR_ORGANISMAL_RESPONSE_TO_STRESS")</f>
        <v>GOBP_MULTICELLULAR_ORGANISMAL_RESPONSE_TO_STRESS</v>
      </c>
      <c r="C2531" s="4">
        <v>115</v>
      </c>
      <c r="D2531" s="3">
        <v>1.2253547</v>
      </c>
      <c r="E2531" s="1">
        <v>0.11730205</v>
      </c>
      <c r="F2531" s="2">
        <v>0.26589249999999998</v>
      </c>
    </row>
    <row r="2532" spans="1:6" x14ac:dyDescent="0.25">
      <c r="A2532" t="s">
        <v>6</v>
      </c>
      <c r="B2532" s="5" t="str">
        <f>HYPERLINK("http://www.broadinstitute.org/gsea/msigdb/cards/GOBP_BONE_MATURATION.html","GOBP_BONE_MATURATION")</f>
        <v>GOBP_BONE_MATURATION</v>
      </c>
      <c r="C2532" s="4">
        <v>28</v>
      </c>
      <c r="D2532" s="3">
        <v>1.2251745000000001</v>
      </c>
      <c r="E2532" s="1">
        <v>0.17462933</v>
      </c>
      <c r="F2532" s="2">
        <v>0.26606044000000001</v>
      </c>
    </row>
    <row r="2533" spans="1:6" x14ac:dyDescent="0.25">
      <c r="A2533" t="s">
        <v>6</v>
      </c>
      <c r="B2533" s="5" t="str">
        <f>HYPERLINK("http://www.broadinstitute.org/gsea/msigdb/cards/GOBP_SECRETORY_GRANULE_ORGANIZATION.html","GOBP_SECRETORY_GRANULE_ORGANIZATION")</f>
        <v>GOBP_SECRETORY_GRANULE_ORGANIZATION</v>
      </c>
      <c r="C2533" s="4">
        <v>67</v>
      </c>
      <c r="D2533" s="3">
        <v>1.2249654999999999</v>
      </c>
      <c r="E2533" s="1">
        <v>0.12145110000000001</v>
      </c>
      <c r="F2533" s="2">
        <v>0.26628790000000002</v>
      </c>
    </row>
    <row r="2534" spans="1:6" x14ac:dyDescent="0.25">
      <c r="A2534" t="s">
        <v>6</v>
      </c>
      <c r="B2534" s="5" t="str">
        <f>HYPERLINK("http://www.broadinstitute.org/gsea/msigdb/cards/GOBP_POSITIVE_REGULATION_OF_BROWN_FAT_CELL_DIFFERENTIATION.html","GOBP_POSITIVE_REGULATION_OF_BROWN_FAT_CELL_DIFFERENTIATION")</f>
        <v>GOBP_POSITIVE_REGULATION_OF_BROWN_FAT_CELL_DIFFERENTIATION</v>
      </c>
      <c r="C2534" s="4">
        <v>17</v>
      </c>
      <c r="D2534" s="3">
        <v>1.2249490000000001</v>
      </c>
      <c r="E2534" s="1">
        <v>0.18544194</v>
      </c>
      <c r="F2534" s="2">
        <v>0.2662062</v>
      </c>
    </row>
    <row r="2535" spans="1:6" x14ac:dyDescent="0.25">
      <c r="A2535" t="s">
        <v>6</v>
      </c>
      <c r="B2535" s="5" t="str">
        <f>HYPERLINK("http://www.broadinstitute.org/gsea/msigdb/cards/GOBP_REGULATION_OF_PEPTIDE_TRANSPORT.html","GOBP_REGULATION_OF_PEPTIDE_TRANSPORT")</f>
        <v>GOBP_REGULATION_OF_PEPTIDE_TRANSPORT</v>
      </c>
      <c r="C2535" s="4">
        <v>255</v>
      </c>
      <c r="D2535" s="3">
        <v>1.2247591</v>
      </c>
      <c r="E2535" s="1">
        <v>5.5482167999999998E-2</v>
      </c>
      <c r="F2535" s="2">
        <v>0.26638079999999997</v>
      </c>
    </row>
    <row r="2536" spans="1:6" x14ac:dyDescent="0.25">
      <c r="A2536" t="s">
        <v>6</v>
      </c>
      <c r="B2536" s="5" t="str">
        <f>HYPERLINK("http://www.broadinstitute.org/gsea/msigdb/cards/GOBP_REGULATION_OF_LIPID_STORAGE.html","GOBP_REGULATION_OF_LIPID_STORAGE")</f>
        <v>GOBP_REGULATION_OF_LIPID_STORAGE</v>
      </c>
      <c r="C2536" s="4">
        <v>55</v>
      </c>
      <c r="D2536" s="3">
        <v>1.2247239000000001</v>
      </c>
      <c r="E2536" s="1">
        <v>0.16354345000000001</v>
      </c>
      <c r="F2536" s="2">
        <v>0.26632984999999998</v>
      </c>
    </row>
    <row r="2537" spans="1:6" x14ac:dyDescent="0.25">
      <c r="A2537" t="s">
        <v>7</v>
      </c>
      <c r="B2537" s="5" t="str">
        <f>HYPERLINK("http://www.broadinstitute.org/gsea/msigdb/cards/GOCC_MESSENGER_RIBONUCLEOPROTEIN_COMPLEX.html","GOCC_MESSENGER_RIBONUCLEOPROTEIN_COMPLEX")</f>
        <v>GOCC_MESSENGER_RIBONUCLEOPROTEIN_COMPLEX</v>
      </c>
      <c r="C2537" s="4">
        <v>16</v>
      </c>
      <c r="D2537" s="3">
        <v>1.2244066</v>
      </c>
      <c r="E2537" s="1">
        <v>0.18848166999999999</v>
      </c>
      <c r="F2537" s="2">
        <v>0.26671693000000002</v>
      </c>
    </row>
    <row r="2538" spans="1:6" x14ac:dyDescent="0.25">
      <c r="A2538" t="s">
        <v>6</v>
      </c>
      <c r="B2538" s="5" t="str">
        <f>HYPERLINK("http://www.broadinstitute.org/gsea/msigdb/cards/GOBP_CALCIUM_ION_IMPORT_ACROSS_PLASMA_MEMBRANE.html","GOBP_CALCIUM_ION_IMPORT_ACROSS_PLASMA_MEMBRANE")</f>
        <v>GOBP_CALCIUM_ION_IMPORT_ACROSS_PLASMA_MEMBRANE</v>
      </c>
      <c r="C2538" s="4">
        <v>40</v>
      </c>
      <c r="D2538" s="3">
        <v>1.2242010999999999</v>
      </c>
      <c r="E2538" s="1">
        <v>0.1557789</v>
      </c>
      <c r="F2538" s="2">
        <v>0.26691874999999998</v>
      </c>
    </row>
    <row r="2539" spans="1:6" x14ac:dyDescent="0.25">
      <c r="A2539" t="s">
        <v>8</v>
      </c>
      <c r="B2539" s="5" t="str">
        <f>HYPERLINK("http://www.broadinstitute.org/gsea/msigdb/cards/GOMF_INOSITOL_PHOSPHATE_PHOSPHATASE_ACTIVITY.html","GOMF_INOSITOL_PHOSPHATE_PHOSPHATASE_ACTIVITY")</f>
        <v>GOMF_INOSITOL_PHOSPHATE_PHOSPHATASE_ACTIVITY</v>
      </c>
      <c r="C2539" s="4">
        <v>18</v>
      </c>
      <c r="D2539" s="3">
        <v>1.2238646</v>
      </c>
      <c r="E2539" s="1">
        <v>0.21273032</v>
      </c>
      <c r="F2539" s="2">
        <v>0.26732489999999998</v>
      </c>
    </row>
    <row r="2540" spans="1:6" x14ac:dyDescent="0.25">
      <c r="A2540" t="s">
        <v>6</v>
      </c>
      <c r="B2540" s="5" t="str">
        <f>HYPERLINK("http://www.broadinstitute.org/gsea/msigdb/cards/GOBP_REGULATION_OF_CELLULAR_KETONE_METABOLIC_PROCESS.html","GOBP_REGULATION_OF_CELLULAR_KETONE_METABOLIC_PROCESS")</f>
        <v>GOBP_REGULATION_OF_CELLULAR_KETONE_METABOLIC_PROCESS</v>
      </c>
      <c r="C2540" s="4">
        <v>162</v>
      </c>
      <c r="D2540" s="3">
        <v>1.2233240000000001</v>
      </c>
      <c r="E2540" s="1">
        <v>8.1779055000000003E-2</v>
      </c>
      <c r="F2540" s="2">
        <v>0.26807409999999998</v>
      </c>
    </row>
    <row r="2541" spans="1:6" x14ac:dyDescent="0.25">
      <c r="A2541" t="s">
        <v>6</v>
      </c>
      <c r="B2541" s="5" t="str">
        <f>HYPERLINK("http://www.broadinstitute.org/gsea/msigdb/cards/GOBP_REGULATION_OF_DEPHOSPHORYLATION.html","GOBP_REGULATION_OF_DEPHOSPHORYLATION")</f>
        <v>GOBP_REGULATION_OF_DEPHOSPHORYLATION</v>
      </c>
      <c r="C2541" s="4">
        <v>120</v>
      </c>
      <c r="D2541" s="3">
        <v>1.2226231000000001</v>
      </c>
      <c r="E2541" s="1">
        <v>0.10291859</v>
      </c>
      <c r="F2541" s="2">
        <v>0.26903125999999999</v>
      </c>
    </row>
    <row r="2542" spans="1:6" x14ac:dyDescent="0.25">
      <c r="A2542" t="s">
        <v>10</v>
      </c>
      <c r="B2542" s="5" t="str">
        <f>HYPERLINK("http://www.broadinstitute.org/gsea/msigdb/cards/REACTOME_TGF_BETA_RECEPTOR_SIGNALING_ACTIVATES_SMADS.html","REACTOME_TGF_BETA_RECEPTOR_SIGNALING_ACTIVATES_SMADS")</f>
        <v>REACTOME_TGF_BETA_RECEPTOR_SIGNALING_ACTIVATES_SMADS</v>
      </c>
      <c r="C2542" s="4">
        <v>37</v>
      </c>
      <c r="D2542" s="3">
        <v>1.2225722999999999</v>
      </c>
      <c r="E2542" s="1">
        <v>0.15673982</v>
      </c>
      <c r="F2542" s="2">
        <v>0.26900014</v>
      </c>
    </row>
    <row r="2543" spans="1:6" x14ac:dyDescent="0.25">
      <c r="A2543" t="s">
        <v>8</v>
      </c>
      <c r="B2543" s="5" t="str">
        <f>HYPERLINK("http://www.broadinstitute.org/gsea/msigdb/cards/GOMF_CELL_ADHESION_MEDIATOR_ACTIVITY.html","GOMF_CELL_ADHESION_MEDIATOR_ACTIVITY")</f>
        <v>GOMF_CELL_ADHESION_MEDIATOR_ACTIVITY</v>
      </c>
      <c r="C2543" s="4">
        <v>44</v>
      </c>
      <c r="D2543" s="3">
        <v>1.2224683999999999</v>
      </c>
      <c r="E2543" s="1">
        <v>0.18151260999999999</v>
      </c>
      <c r="F2543" s="2">
        <v>0.26904729999999999</v>
      </c>
    </row>
    <row r="2544" spans="1:6" x14ac:dyDescent="0.25">
      <c r="A2544" t="s">
        <v>6</v>
      </c>
      <c r="B2544" s="5" t="str">
        <f>HYPERLINK("http://www.broadinstitute.org/gsea/msigdb/cards/GOBP_TROPHOBLAST_CELL_MIGRATION.html","GOBP_TROPHOBLAST_CELL_MIGRATION")</f>
        <v>GOBP_TROPHOBLAST_CELL_MIGRATION</v>
      </c>
      <c r="C2544" s="4">
        <v>17</v>
      </c>
      <c r="D2544" s="3">
        <v>1.2222618000000001</v>
      </c>
      <c r="E2544" s="1">
        <v>0.21441124</v>
      </c>
      <c r="F2544" s="2">
        <v>0.26926496999999999</v>
      </c>
    </row>
    <row r="2545" spans="1:6" x14ac:dyDescent="0.25">
      <c r="A2545" t="s">
        <v>6</v>
      </c>
      <c r="B2545" s="5" t="str">
        <f>HYPERLINK("http://www.broadinstitute.org/gsea/msigdb/cards/GOBP_REGULATION_OF_EPITHELIAL_CELL_DIFFERENTIATION.html","GOBP_REGULATION_OF_EPITHELIAL_CELL_DIFFERENTIATION")</f>
        <v>GOBP_REGULATION_OF_EPITHELIAL_CELL_DIFFERENTIATION</v>
      </c>
      <c r="C2545" s="4">
        <v>170</v>
      </c>
      <c r="D2545" s="3">
        <v>1.2220154000000001</v>
      </c>
      <c r="E2545" s="1">
        <v>7.9772079999999995E-2</v>
      </c>
      <c r="F2545" s="2">
        <v>0.26954763999999998</v>
      </c>
    </row>
    <row r="2546" spans="1:6" x14ac:dyDescent="0.25">
      <c r="A2546" t="s">
        <v>6</v>
      </c>
      <c r="B2546" s="5" t="str">
        <f>HYPERLINK("http://www.broadinstitute.org/gsea/msigdb/cards/GOBP_DEPHOSPHORYLATION.html","GOBP_DEPHOSPHORYLATION")</f>
        <v>GOBP_DEPHOSPHORYLATION</v>
      </c>
      <c r="C2546" s="4">
        <v>314</v>
      </c>
      <c r="D2546" s="3">
        <v>1.2211463</v>
      </c>
      <c r="E2546" s="1">
        <v>6.4304459999999994E-2</v>
      </c>
      <c r="F2546" s="2">
        <v>0.27080729999999997</v>
      </c>
    </row>
    <row r="2547" spans="1:6" x14ac:dyDescent="0.25">
      <c r="A2547" t="s">
        <v>6</v>
      </c>
      <c r="B2547" s="5" t="str">
        <f>HYPERLINK("http://www.broadinstitute.org/gsea/msigdb/cards/GOBP_REACTIVE_OXYGEN_SPECIES_BIOSYNTHETIC_PROCESS.html","GOBP_REACTIVE_OXYGEN_SPECIES_BIOSYNTHETIC_PROCESS")</f>
        <v>GOBP_REACTIVE_OXYGEN_SPECIES_BIOSYNTHETIC_PROCESS</v>
      </c>
      <c r="C2547" s="4">
        <v>60</v>
      </c>
      <c r="D2547" s="3">
        <v>1.2211365000000001</v>
      </c>
      <c r="E2547" s="1">
        <v>0.17202572999999999</v>
      </c>
      <c r="F2547" s="2">
        <v>0.27071872000000002</v>
      </c>
    </row>
    <row r="2548" spans="1:6" x14ac:dyDescent="0.25">
      <c r="A2548" t="s">
        <v>6</v>
      </c>
      <c r="B2548" s="5" t="str">
        <f>HYPERLINK("http://www.broadinstitute.org/gsea/msigdb/cards/GOBP_POSITIVE_REGULATION_OF_REGULATED_SECRETORY_PATHWAY.html","GOBP_POSITIVE_REGULATION_OF_REGULATED_SECRETORY_PATHWAY")</f>
        <v>GOBP_POSITIVE_REGULATION_OF_REGULATED_SECRETORY_PATHWAY</v>
      </c>
      <c r="C2548" s="4">
        <v>58</v>
      </c>
      <c r="D2548" s="3">
        <v>1.2211136</v>
      </c>
      <c r="E2548" s="1">
        <v>0.16304347999999999</v>
      </c>
      <c r="F2548" s="2">
        <v>0.27065054</v>
      </c>
    </row>
    <row r="2549" spans="1:6" x14ac:dyDescent="0.25">
      <c r="A2549" t="s">
        <v>6</v>
      </c>
      <c r="B2549" s="5" t="str">
        <f>HYPERLINK("http://www.broadinstitute.org/gsea/msigdb/cards/GOBP_HOMEOSTASIS_OF_NUMBER_OF_CELLS_WITHIN_A_TISSUE.html","GOBP_HOMEOSTASIS_OF_NUMBER_OF_CELLS_WITHIN_A_TISSUE")</f>
        <v>GOBP_HOMEOSTASIS_OF_NUMBER_OF_CELLS_WITHIN_A_TISSUE</v>
      </c>
      <c r="C2549" s="4">
        <v>45</v>
      </c>
      <c r="D2549" s="3">
        <v>1.2209022</v>
      </c>
      <c r="E2549" s="1">
        <v>0.16354345000000001</v>
      </c>
      <c r="F2549" s="2">
        <v>0.27086445999999997</v>
      </c>
    </row>
    <row r="2550" spans="1:6" x14ac:dyDescent="0.25">
      <c r="A2550" t="s">
        <v>6</v>
      </c>
      <c r="B2550" s="5" t="str">
        <f>HYPERLINK("http://www.broadinstitute.org/gsea/msigdb/cards/GOBP_ORGANELLE_FUSION.html","GOBP_ORGANELLE_FUSION")</f>
        <v>GOBP_ORGANELLE_FUSION</v>
      </c>
      <c r="C2550" s="4">
        <v>170</v>
      </c>
      <c r="D2550" s="3">
        <v>1.2207747</v>
      </c>
      <c r="E2550" s="1">
        <v>9.6820809999999993E-2</v>
      </c>
      <c r="F2550" s="2">
        <v>0.27094990000000002</v>
      </c>
    </row>
    <row r="2551" spans="1:6" x14ac:dyDescent="0.25">
      <c r="A2551" t="s">
        <v>6</v>
      </c>
      <c r="B2551" s="5" t="str">
        <f>HYPERLINK("http://www.broadinstitute.org/gsea/msigdb/cards/GOBP_ESTABLISHMENT_OF_BLOOD_BRAIN_BARRIER.html","GOBP_ESTABLISHMENT_OF_BLOOD_BRAIN_BARRIER")</f>
        <v>GOBP_ESTABLISHMENT_OF_BLOOD_BRAIN_BARRIER</v>
      </c>
      <c r="C2551" s="4">
        <v>18</v>
      </c>
      <c r="D2551" s="3">
        <v>1.2207298</v>
      </c>
      <c r="E2551" s="1">
        <v>0.20170940000000001</v>
      </c>
      <c r="F2551" s="2">
        <v>0.27090950000000003</v>
      </c>
    </row>
    <row r="2552" spans="1:6" x14ac:dyDescent="0.25">
      <c r="A2552" t="s">
        <v>7</v>
      </c>
      <c r="B2552" s="5" t="str">
        <f>HYPERLINK("http://www.broadinstitute.org/gsea/msigdb/cards/GOCC_CILIARY_MEMBRANE.html","GOCC_CILIARY_MEMBRANE")</f>
        <v>GOCC_CILIARY_MEMBRANE</v>
      </c>
      <c r="C2552" s="4">
        <v>59</v>
      </c>
      <c r="D2552" s="3">
        <v>1.2203424</v>
      </c>
      <c r="E2552" s="1">
        <v>0.16746411999999999</v>
      </c>
      <c r="F2552" s="2">
        <v>0.27139946999999998</v>
      </c>
    </row>
    <row r="2553" spans="1:6" x14ac:dyDescent="0.25">
      <c r="A2553" t="s">
        <v>6</v>
      </c>
      <c r="B2553" s="5" t="str">
        <f>HYPERLINK("http://www.broadinstitute.org/gsea/msigdb/cards/GOBP_PYRIDINE_CONTAINING_COMPOUND_BIOSYNTHETIC_PROCESS.html","GOBP_PYRIDINE_CONTAINING_COMPOUND_BIOSYNTHETIC_PROCESS")</f>
        <v>GOBP_PYRIDINE_CONTAINING_COMPOUND_BIOSYNTHETIC_PROCESS</v>
      </c>
      <c r="C2553" s="4">
        <v>23</v>
      </c>
      <c r="D2553" s="3">
        <v>1.2203021999999999</v>
      </c>
      <c r="E2553" s="1">
        <v>0.19767441999999999</v>
      </c>
      <c r="F2553" s="2">
        <v>0.27134687000000002</v>
      </c>
    </row>
    <row r="2554" spans="1:6" x14ac:dyDescent="0.25">
      <c r="A2554" t="s">
        <v>6</v>
      </c>
      <c r="B2554" s="5" t="str">
        <f>HYPERLINK("http://www.broadinstitute.org/gsea/msigdb/cards/GOBP_MESENCHYMAL_CELL_DIFFERENTIATION.html","GOBP_MESENCHYMAL_CELL_DIFFERENTIATION")</f>
        <v>GOBP_MESENCHYMAL_CELL_DIFFERENTIATION</v>
      </c>
      <c r="C2554" s="4">
        <v>252</v>
      </c>
      <c r="D2554" s="3">
        <v>1.2199446</v>
      </c>
      <c r="E2554" s="1">
        <v>6.9156300000000004E-2</v>
      </c>
      <c r="F2554" s="2">
        <v>0.27178619999999998</v>
      </c>
    </row>
    <row r="2555" spans="1:6" x14ac:dyDescent="0.25">
      <c r="A2555" t="s">
        <v>6</v>
      </c>
      <c r="B2555" s="5" t="str">
        <f>HYPERLINK("http://www.broadinstitute.org/gsea/msigdb/cards/GOBP_CYCLIC_NUCLEOTIDE_BIOSYNTHETIC_PROCESS.html","GOBP_CYCLIC_NUCLEOTIDE_BIOSYNTHETIC_PROCESS")</f>
        <v>GOBP_CYCLIC_NUCLEOTIDE_BIOSYNTHETIC_PROCESS</v>
      </c>
      <c r="C2555" s="4">
        <v>22</v>
      </c>
      <c r="D2555" s="3">
        <v>1.2198286</v>
      </c>
      <c r="E2555" s="1">
        <v>0.20136519</v>
      </c>
      <c r="F2555" s="2">
        <v>0.27186975000000002</v>
      </c>
    </row>
    <row r="2556" spans="1:6" x14ac:dyDescent="0.25">
      <c r="A2556" t="s">
        <v>6</v>
      </c>
      <c r="B2556" s="5" t="str">
        <f>HYPERLINK("http://www.broadinstitute.org/gsea/msigdb/cards/GOBP_REGULATION_OF_AMYLOID_BETA_FORMATION.html","GOBP_REGULATION_OF_AMYLOID_BETA_FORMATION")</f>
        <v>GOBP_REGULATION_OF_AMYLOID_BETA_FORMATION</v>
      </c>
      <c r="C2556" s="4">
        <v>38</v>
      </c>
      <c r="D2556" s="3">
        <v>1.2196326</v>
      </c>
      <c r="E2556" s="1">
        <v>0.16129031999999999</v>
      </c>
      <c r="F2556" s="2">
        <v>0.27207017</v>
      </c>
    </row>
    <row r="2557" spans="1:6" x14ac:dyDescent="0.25">
      <c r="A2557" t="s">
        <v>11</v>
      </c>
      <c r="B2557" s="5" t="str">
        <f>HYPERLINK("http://www.broadinstitute.org/gsea/msigdb/cards/WP_CALCIUM_REGULATION_IN_CARDIAC_CELLS.html","WP_CALCIUM_REGULATION_IN_CARDIAC_CELLS")</f>
        <v>WP_CALCIUM_REGULATION_IN_CARDIAC_CELLS</v>
      </c>
      <c r="C2557" s="4">
        <v>143</v>
      </c>
      <c r="D2557" s="3">
        <v>1.217878</v>
      </c>
      <c r="E2557" s="1">
        <v>0.10966811</v>
      </c>
      <c r="F2557" s="2">
        <v>0.27470133000000002</v>
      </c>
    </row>
    <row r="2558" spans="1:6" x14ac:dyDescent="0.25">
      <c r="A2558" t="s">
        <v>7</v>
      </c>
      <c r="B2558" s="5" t="str">
        <f>HYPERLINK("http://www.broadinstitute.org/gsea/msigdb/cards/GOCC_CELL_CORTEX.html","GOCC_CELL_CORTEX")</f>
        <v>GOCC_CELL_CORTEX</v>
      </c>
      <c r="C2558" s="4">
        <v>301</v>
      </c>
      <c r="D2558" s="3">
        <v>1.2178275999999999</v>
      </c>
      <c r="E2558" s="1">
        <v>6.5860210000000002E-2</v>
      </c>
      <c r="F2558" s="2">
        <v>0.27467312999999999</v>
      </c>
    </row>
    <row r="2559" spans="1:6" x14ac:dyDescent="0.25">
      <c r="A2559" t="s">
        <v>8</v>
      </c>
      <c r="B2559" s="5" t="str">
        <f>HYPERLINK("http://www.broadinstitute.org/gsea/msigdb/cards/GOMF_MITOGEN_ACTIVATED_PROTEIN_KINASE_KINASE_KINASE_BINDING.html","GOMF_MITOGEN_ACTIVATED_PROTEIN_KINASE_KINASE_KINASE_BINDING")</f>
        <v>GOMF_MITOGEN_ACTIVATED_PROTEIN_KINASE_KINASE_KINASE_BINDING</v>
      </c>
      <c r="C2559" s="4">
        <v>26</v>
      </c>
      <c r="D2559" s="3">
        <v>1.2168977000000001</v>
      </c>
      <c r="E2559" s="1">
        <v>0.18196995999999999</v>
      </c>
      <c r="F2559" s="2">
        <v>0.2760551</v>
      </c>
    </row>
    <row r="2560" spans="1:6" x14ac:dyDescent="0.25">
      <c r="A2560" t="s">
        <v>6</v>
      </c>
      <c r="B2560" s="5" t="str">
        <f>HYPERLINK("http://www.broadinstitute.org/gsea/msigdb/cards/GOBP_REGULATION_OF_POSTSYNAPSE_ORGANIZATION.html","GOBP_REGULATION_OF_POSTSYNAPSE_ORGANIZATION")</f>
        <v>GOBP_REGULATION_OF_POSTSYNAPSE_ORGANIZATION</v>
      </c>
      <c r="C2560" s="4">
        <v>136</v>
      </c>
      <c r="D2560" s="3">
        <v>1.2168836999999999</v>
      </c>
      <c r="E2560" s="1">
        <v>0.11516034999999999</v>
      </c>
      <c r="F2560" s="2">
        <v>0.27597593999999998</v>
      </c>
    </row>
    <row r="2561" spans="1:6" x14ac:dyDescent="0.25">
      <c r="A2561" t="s">
        <v>10</v>
      </c>
      <c r="B2561" s="5" t="str">
        <f>HYPERLINK("http://www.broadinstitute.org/gsea/msigdb/cards/REACTOME_GABA_RECEPTOR_ACTIVATION.html","REACTOME_GABA_RECEPTOR_ACTIVATION")</f>
        <v>REACTOME_GABA_RECEPTOR_ACTIVATION</v>
      </c>
      <c r="C2561" s="4">
        <v>56</v>
      </c>
      <c r="D2561" s="3">
        <v>1.2168490999999999</v>
      </c>
      <c r="E2561" s="1">
        <v>0.15973377</v>
      </c>
      <c r="F2561" s="2">
        <v>0.27592592999999999</v>
      </c>
    </row>
    <row r="2562" spans="1:6" x14ac:dyDescent="0.25">
      <c r="A2562" t="s">
        <v>6</v>
      </c>
      <c r="B2562" s="5" t="str">
        <f>HYPERLINK("http://www.broadinstitute.org/gsea/msigdb/cards/GOBP_NEGATIVE_REGULATION_OF_RESPONSE_TO_ENDOPLASMIC_RETICULUM_STRESS.html","GOBP_NEGATIVE_REGULATION_OF_RESPONSE_TO_ENDOPLASMIC_RETICULUM_STRESS")</f>
        <v>GOBP_NEGATIVE_REGULATION_OF_RESPONSE_TO_ENDOPLASMIC_RETICULUM_STRESS</v>
      </c>
      <c r="C2562" s="4">
        <v>40</v>
      </c>
      <c r="D2562" s="3">
        <v>1.2168372999999999</v>
      </c>
      <c r="E2562" s="1">
        <v>0.16556291000000001</v>
      </c>
      <c r="F2562" s="2">
        <v>0.27583839999999998</v>
      </c>
    </row>
    <row r="2563" spans="1:6" x14ac:dyDescent="0.25">
      <c r="A2563" t="s">
        <v>6</v>
      </c>
      <c r="B2563" s="5" t="str">
        <f>HYPERLINK("http://www.broadinstitute.org/gsea/msigdb/cards/GOBP_ACTIVATION_OF_PHOSPHOLIPASE_C_ACTIVITY.html","GOBP_ACTIVATION_OF_PHOSPHOLIPASE_C_ACTIVITY")</f>
        <v>GOBP_ACTIVATION_OF_PHOSPHOLIPASE_C_ACTIVITY</v>
      </c>
      <c r="C2563" s="4">
        <v>22</v>
      </c>
      <c r="D2563" s="3">
        <v>1.2167619999999999</v>
      </c>
      <c r="E2563" s="1">
        <v>0.20284696999999999</v>
      </c>
      <c r="F2563" s="2">
        <v>0.27585343000000001</v>
      </c>
    </row>
    <row r="2564" spans="1:6" x14ac:dyDescent="0.25">
      <c r="A2564" t="s">
        <v>6</v>
      </c>
      <c r="B2564" s="5" t="str">
        <f>HYPERLINK("http://www.broadinstitute.org/gsea/msigdb/cards/GOBP_RESPONSE_TO_COPPER_ION.html","GOBP_RESPONSE_TO_COPPER_ION")</f>
        <v>GOBP_RESPONSE_TO_COPPER_ION</v>
      </c>
      <c r="C2564" s="4">
        <v>26</v>
      </c>
      <c r="D2564" s="3">
        <v>1.2166988000000001</v>
      </c>
      <c r="E2564" s="1">
        <v>0.18806510000000001</v>
      </c>
      <c r="F2564" s="2">
        <v>0.27583984</v>
      </c>
    </row>
    <row r="2565" spans="1:6" x14ac:dyDescent="0.25">
      <c r="A2565" t="s">
        <v>6</v>
      </c>
      <c r="B2565" s="5" t="str">
        <f>HYPERLINK("http://www.broadinstitute.org/gsea/msigdb/cards/GOBP_ACTIN_FILAMENT_DEPOLYMERIZATION.html","GOBP_ACTIN_FILAMENT_DEPOLYMERIZATION")</f>
        <v>GOBP_ACTIN_FILAMENT_DEPOLYMERIZATION</v>
      </c>
      <c r="C2565" s="4">
        <v>58</v>
      </c>
      <c r="D2565" s="3">
        <v>1.2165754</v>
      </c>
      <c r="E2565" s="1">
        <v>0.16640252999999999</v>
      </c>
      <c r="F2565" s="2">
        <v>0.27592164000000002</v>
      </c>
    </row>
    <row r="2566" spans="1:6" x14ac:dyDescent="0.25">
      <c r="A2566" t="s">
        <v>6</v>
      </c>
      <c r="B2566" s="5" t="str">
        <f>HYPERLINK("http://www.broadinstitute.org/gsea/msigdb/cards/GOBP_REGULATION_OF_CALCINEURIN_MEDIATED_SIGNALING.html","GOBP_REGULATION_OF_CALCINEURIN_MEDIATED_SIGNALING")</f>
        <v>GOBP_REGULATION_OF_CALCINEURIN_MEDIATED_SIGNALING</v>
      </c>
      <c r="C2566" s="4">
        <v>41</v>
      </c>
      <c r="D2566" s="3">
        <v>1.2164235999999999</v>
      </c>
      <c r="E2566" s="1">
        <v>0.1737013</v>
      </c>
      <c r="F2566" s="2">
        <v>0.27606114999999998</v>
      </c>
    </row>
    <row r="2567" spans="1:6" x14ac:dyDescent="0.25">
      <c r="A2567" t="s">
        <v>6</v>
      </c>
      <c r="B2567" s="5" t="str">
        <f>HYPERLINK("http://www.broadinstitute.org/gsea/msigdb/cards/GOBP_REGULATION_OF_NUCLEOTIDE_BIOSYNTHETIC_PROCESS.html","GOBP_REGULATION_OF_NUCLEOTIDE_BIOSYNTHETIC_PROCESS")</f>
        <v>GOBP_REGULATION_OF_NUCLEOTIDE_BIOSYNTHETIC_PROCESS</v>
      </c>
      <c r="C2567" s="4">
        <v>36</v>
      </c>
      <c r="D2567" s="3">
        <v>1.216377</v>
      </c>
      <c r="E2567" s="1">
        <v>0.18290598999999999</v>
      </c>
      <c r="F2567" s="2">
        <v>0.27603343000000002</v>
      </c>
    </row>
    <row r="2568" spans="1:6" x14ac:dyDescent="0.25">
      <c r="A2568" t="s">
        <v>6</v>
      </c>
      <c r="B2568" s="5" t="str">
        <f>HYPERLINK("http://www.broadinstitute.org/gsea/msigdb/cards/GOBP_NEGATIVE_REGULATION_OF_NEURAL_PRECURSOR_CELL_PROLIFERATION.html","GOBP_NEGATIVE_REGULATION_OF_NEURAL_PRECURSOR_CELL_PROLIFERATION")</f>
        <v>GOBP_NEGATIVE_REGULATION_OF_NEURAL_PRECURSOR_CELL_PROLIFERATION</v>
      </c>
      <c r="C2568" s="4">
        <v>34</v>
      </c>
      <c r="D2568" s="3">
        <v>1.2160002999999999</v>
      </c>
      <c r="E2568" s="1">
        <v>0.18524589999999999</v>
      </c>
      <c r="F2568" s="2">
        <v>0.2765341</v>
      </c>
    </row>
    <row r="2569" spans="1:6" x14ac:dyDescent="0.25">
      <c r="A2569" t="s">
        <v>7</v>
      </c>
      <c r="B2569" s="5" t="str">
        <f>HYPERLINK("http://www.broadinstitute.org/gsea/msigdb/cards/GOCC_BASOLATERAL_PLASMA_MEMBRANE.html","GOCC_BASOLATERAL_PLASMA_MEMBRANE")</f>
        <v>GOCC_BASOLATERAL_PLASMA_MEMBRANE</v>
      </c>
      <c r="C2569" s="4">
        <v>258</v>
      </c>
      <c r="D2569" s="3">
        <v>1.2159469999999999</v>
      </c>
      <c r="E2569" s="1">
        <v>7.6923080000000005E-2</v>
      </c>
      <c r="F2569" s="2">
        <v>0.27650836000000001</v>
      </c>
    </row>
    <row r="2570" spans="1:6" x14ac:dyDescent="0.25">
      <c r="A2570" t="s">
        <v>6</v>
      </c>
      <c r="B2570" s="5" t="str">
        <f>HYPERLINK("http://www.broadinstitute.org/gsea/msigdb/cards/GOBP_LONG_CHAIN_FATTY_ACID_IMPORT_INTO_CELL.html","GOBP_LONG_CHAIN_FATTY_ACID_IMPORT_INTO_CELL")</f>
        <v>GOBP_LONG_CHAIN_FATTY_ACID_IMPORT_INTO_CELL</v>
      </c>
      <c r="C2570" s="4">
        <v>19</v>
      </c>
      <c r="D2570" s="3">
        <v>1.2147269999999999</v>
      </c>
      <c r="E2570" s="1">
        <v>0.21166667</v>
      </c>
      <c r="F2570" s="2">
        <v>0.27833655000000002</v>
      </c>
    </row>
    <row r="2571" spans="1:6" x14ac:dyDescent="0.25">
      <c r="A2571" t="s">
        <v>6</v>
      </c>
      <c r="B2571" s="5" t="str">
        <f>HYPERLINK("http://www.broadinstitute.org/gsea/msigdb/cards/GOBP_CHOLESTEROL_STORAGE.html","GOBP_CHOLESTEROL_STORAGE")</f>
        <v>GOBP_CHOLESTEROL_STORAGE</v>
      </c>
      <c r="C2571" s="4">
        <v>28</v>
      </c>
      <c r="D2571" s="3">
        <v>1.2144847999999999</v>
      </c>
      <c r="E2571" s="1">
        <v>0.19725558000000001</v>
      </c>
      <c r="F2571" s="2">
        <v>0.27861193000000001</v>
      </c>
    </row>
    <row r="2572" spans="1:6" x14ac:dyDescent="0.25">
      <c r="A2572" t="s">
        <v>6</v>
      </c>
      <c r="B2572" s="5" t="str">
        <f>HYPERLINK("http://www.broadinstitute.org/gsea/msigdb/cards/GOBP_REGULATION_OF_PROTEIN_SECRETION.html","GOBP_REGULATION_OF_PROTEIN_SECRETION")</f>
        <v>GOBP_REGULATION_OF_PROTEIN_SECRETION</v>
      </c>
      <c r="C2572" s="4">
        <v>309</v>
      </c>
      <c r="D2572" s="3">
        <v>1.2143189999999999</v>
      </c>
      <c r="E2572" s="1">
        <v>6.6137570000000007E-2</v>
      </c>
      <c r="F2572" s="2">
        <v>0.27877125000000003</v>
      </c>
    </row>
    <row r="2573" spans="1:6" x14ac:dyDescent="0.25">
      <c r="A2573" t="s">
        <v>6</v>
      </c>
      <c r="B2573" s="5" t="str">
        <f>HYPERLINK("http://www.broadinstitute.org/gsea/msigdb/cards/GOBP_ENDOCARDIAL_CUSHION_FORMATION.html","GOBP_ENDOCARDIAL_CUSHION_FORMATION")</f>
        <v>GOBP_ENDOCARDIAL_CUSHION_FORMATION</v>
      </c>
      <c r="C2573" s="4">
        <v>31</v>
      </c>
      <c r="D2573" s="3">
        <v>1.2141246999999999</v>
      </c>
      <c r="E2573" s="1">
        <v>0.18548387</v>
      </c>
      <c r="F2573" s="2">
        <v>0.27899321999999999</v>
      </c>
    </row>
    <row r="2574" spans="1:6" x14ac:dyDescent="0.25">
      <c r="A2574" t="s">
        <v>6</v>
      </c>
      <c r="B2574" s="5" t="str">
        <f>HYPERLINK("http://www.broadinstitute.org/gsea/msigdb/cards/GOBP_RESPONSE_TO_INTERLEUKIN_4.html","GOBP_RESPONSE_TO_INTERLEUKIN_4")</f>
        <v>GOBP_RESPONSE_TO_INTERLEUKIN_4</v>
      </c>
      <c r="C2574" s="4">
        <v>35</v>
      </c>
      <c r="D2574" s="3">
        <v>1.2140531999999999</v>
      </c>
      <c r="E2574" s="1">
        <v>0.19512193999999999</v>
      </c>
      <c r="F2574" s="2">
        <v>0.2789954</v>
      </c>
    </row>
    <row r="2575" spans="1:6" x14ac:dyDescent="0.25">
      <c r="A2575" t="s">
        <v>10</v>
      </c>
      <c r="B2575" s="5" t="str">
        <f>HYPERLINK("http://www.broadinstitute.org/gsea/msigdb/cards/REACTOME_ABC_TRANSPORTERS_IN_LIPID_HOMEOSTASIS.html","REACTOME_ABC_TRANSPORTERS_IN_LIPID_HOMEOSTASIS")</f>
        <v>REACTOME_ABC_TRANSPORTERS_IN_LIPID_HOMEOSTASIS</v>
      </c>
      <c r="C2575" s="4">
        <v>17</v>
      </c>
      <c r="D2575" s="3">
        <v>1.2137036000000001</v>
      </c>
      <c r="E2575" s="1">
        <v>0.208981</v>
      </c>
      <c r="F2575" s="2">
        <v>0.27943774999999998</v>
      </c>
    </row>
    <row r="2576" spans="1:6" x14ac:dyDescent="0.25">
      <c r="A2576" t="s">
        <v>6</v>
      </c>
      <c r="B2576" s="5" t="str">
        <f>HYPERLINK("http://www.broadinstitute.org/gsea/msigdb/cards/GOBP_CARBOHYDRATE_PHOSPHORYLATION.html","GOBP_CARBOHYDRATE_PHOSPHORYLATION")</f>
        <v>GOBP_CARBOHYDRATE_PHOSPHORYLATION</v>
      </c>
      <c r="C2576" s="4">
        <v>18</v>
      </c>
      <c r="D2576" s="3">
        <v>1.2134057</v>
      </c>
      <c r="E2576" s="1">
        <v>0.20583190000000001</v>
      </c>
      <c r="F2576" s="2">
        <v>0.27976778000000002</v>
      </c>
    </row>
    <row r="2577" spans="1:6" x14ac:dyDescent="0.25">
      <c r="A2577" t="s">
        <v>9</v>
      </c>
      <c r="B2577" s="5" t="str">
        <f>HYPERLINK("http://www.broadinstitute.org/gsea/msigdb/cards/HALLMARK_APICAL_SURFACE.html","HALLMARK_APICAL_SURFACE")</f>
        <v>HALLMARK_APICAL_SURFACE</v>
      </c>
      <c r="C2577" s="4">
        <v>44</v>
      </c>
      <c r="D2577" s="3">
        <v>1.2126570999999999</v>
      </c>
      <c r="E2577" s="1">
        <v>0.16527544999999999</v>
      </c>
      <c r="F2577" s="2">
        <v>0.28083295000000003</v>
      </c>
    </row>
    <row r="2578" spans="1:6" x14ac:dyDescent="0.25">
      <c r="A2578" t="s">
        <v>6</v>
      </c>
      <c r="B2578" s="5" t="str">
        <f>HYPERLINK("http://www.broadinstitute.org/gsea/msigdb/cards/GOBP_L_AMINO_ACID_TRANSPORT.html","GOBP_L_AMINO_ACID_TRANSPORT")</f>
        <v>GOBP_L_AMINO_ACID_TRANSPORT</v>
      </c>
      <c r="C2578" s="4">
        <v>84</v>
      </c>
      <c r="D2578" s="3">
        <v>1.2126015000000001</v>
      </c>
      <c r="E2578" s="1">
        <v>0.14930015999999999</v>
      </c>
      <c r="F2578" s="2">
        <v>0.28082487</v>
      </c>
    </row>
    <row r="2579" spans="1:6" x14ac:dyDescent="0.25">
      <c r="A2579" t="s">
        <v>6</v>
      </c>
      <c r="B2579" s="5" t="str">
        <f>HYPERLINK("http://www.broadinstitute.org/gsea/msigdb/cards/GOBP_GLAND_MORPHOGENESIS.html","GOBP_GLAND_MORPHOGENESIS")</f>
        <v>GOBP_GLAND_MORPHOGENESIS</v>
      </c>
      <c r="C2579" s="4">
        <v>158</v>
      </c>
      <c r="D2579" s="3">
        <v>1.2123246000000001</v>
      </c>
      <c r="E2579" s="1">
        <v>0.10142857</v>
      </c>
      <c r="F2579" s="2">
        <v>0.28115639999999997</v>
      </c>
    </row>
    <row r="2580" spans="1:6" x14ac:dyDescent="0.25">
      <c r="A2580" t="s">
        <v>6</v>
      </c>
      <c r="B2580" s="5" t="str">
        <f>HYPERLINK("http://www.broadinstitute.org/gsea/msigdb/cards/GOBP_ICOSANOID_METABOLIC_PROCESS.html","GOBP_ICOSANOID_METABOLIC_PROCESS")</f>
        <v>GOBP_ICOSANOID_METABOLIC_PROCESS</v>
      </c>
      <c r="C2580" s="4">
        <v>121</v>
      </c>
      <c r="D2580" s="3">
        <v>1.2122345000000001</v>
      </c>
      <c r="E2580" s="1">
        <v>0.12011577</v>
      </c>
      <c r="F2580" s="2">
        <v>0.28118779999999999</v>
      </c>
    </row>
    <row r="2581" spans="1:6" x14ac:dyDescent="0.25">
      <c r="A2581" t="s">
        <v>6</v>
      </c>
      <c r="B2581" s="5" t="str">
        <f>HYPERLINK("http://www.broadinstitute.org/gsea/msigdb/cards/GOBP_REGULATION_OF_G_PROTEIN_COUPLED_RECEPTOR_SIGNALING_PATHWAY.html","GOBP_REGULATION_OF_G_PROTEIN_COUPLED_RECEPTOR_SIGNALING_PATHWAY")</f>
        <v>GOBP_REGULATION_OF_G_PROTEIN_COUPLED_RECEPTOR_SIGNALING_PATHWAY</v>
      </c>
      <c r="C2581" s="4">
        <v>138</v>
      </c>
      <c r="D2581" s="3">
        <v>1.2119551</v>
      </c>
      <c r="E2581" s="1">
        <v>0.12941177000000001</v>
      </c>
      <c r="F2581" s="2">
        <v>0.28152514000000001</v>
      </c>
    </row>
    <row r="2582" spans="1:6" x14ac:dyDescent="0.25">
      <c r="A2582" t="s">
        <v>6</v>
      </c>
      <c r="B2582" s="5" t="str">
        <f>HYPERLINK("http://www.broadinstitute.org/gsea/msigdb/cards/GOBP_C_TERMINAL_PROTEIN_AMINO_ACID_MODIFICATION.html","GOBP_C_TERMINAL_PROTEIN_AMINO_ACID_MODIFICATION")</f>
        <v>GOBP_C_TERMINAL_PROTEIN_AMINO_ACID_MODIFICATION</v>
      </c>
      <c r="C2582" s="4">
        <v>15</v>
      </c>
      <c r="D2582" s="3">
        <v>1.2116176999999999</v>
      </c>
      <c r="E2582" s="1">
        <v>0.21808511</v>
      </c>
      <c r="F2582" s="2">
        <v>0.28195229999999999</v>
      </c>
    </row>
    <row r="2583" spans="1:6" x14ac:dyDescent="0.25">
      <c r="A2583" t="s">
        <v>6</v>
      </c>
      <c r="B2583" s="5" t="str">
        <f>HYPERLINK("http://www.broadinstitute.org/gsea/msigdb/cards/GOBP_LATE_ENDOSOME_TO_VACUOLE_TRANSPORT.html","GOBP_LATE_ENDOSOME_TO_VACUOLE_TRANSPORT")</f>
        <v>GOBP_LATE_ENDOSOME_TO_VACUOLE_TRANSPORT</v>
      </c>
      <c r="C2583" s="4">
        <v>27</v>
      </c>
      <c r="D2583" s="3">
        <v>1.2116023</v>
      </c>
      <c r="E2583" s="1">
        <v>0.19444444999999999</v>
      </c>
      <c r="F2583" s="2">
        <v>0.28186654999999999</v>
      </c>
    </row>
    <row r="2584" spans="1:6" x14ac:dyDescent="0.25">
      <c r="A2584" t="s">
        <v>10</v>
      </c>
      <c r="B2584" s="5" t="str">
        <f>HYPERLINK("http://www.broadinstitute.org/gsea/msigdb/cards/REACTOME_RHO_GTPASE_EFFECTORS.html","REACTOME_RHO_GTPASE_EFFECTORS")</f>
        <v>REACTOME_RHO_GTPASE_EFFECTORS</v>
      </c>
      <c r="C2584" s="4">
        <v>243</v>
      </c>
      <c r="D2584" s="3">
        <v>1.2113354999999999</v>
      </c>
      <c r="E2584" s="1">
        <v>8.4699449999999996E-2</v>
      </c>
      <c r="F2584" s="2">
        <v>0.28220214999999998</v>
      </c>
    </row>
    <row r="2585" spans="1:6" x14ac:dyDescent="0.25">
      <c r="A2585" t="s">
        <v>6</v>
      </c>
      <c r="B2585" s="5" t="str">
        <f>HYPERLINK("http://www.broadinstitute.org/gsea/msigdb/cards/GOBP_AMINO_ACID_TRANSMEMBRANE_TRANSPORT.html","GOBP_AMINO_ACID_TRANSMEMBRANE_TRANSPORT")</f>
        <v>GOBP_AMINO_ACID_TRANSMEMBRANE_TRANSPORT</v>
      </c>
      <c r="C2585" s="4">
        <v>94</v>
      </c>
      <c r="D2585" s="3">
        <v>1.2112115999999999</v>
      </c>
      <c r="E2585" s="1">
        <v>0.11951589</v>
      </c>
      <c r="F2585" s="2">
        <v>0.28229356</v>
      </c>
    </row>
    <row r="2586" spans="1:6" x14ac:dyDescent="0.25">
      <c r="A2586" t="s">
        <v>8</v>
      </c>
      <c r="B2586" s="5" t="str">
        <f>HYPERLINK("http://www.broadinstitute.org/gsea/msigdb/cards/GOMF_CARBONATE_DEHYDRATASE_ACTIVITY.html","GOMF_CARBONATE_DEHYDRATASE_ACTIVITY")</f>
        <v>GOMF_CARBONATE_DEHYDRATASE_ACTIVITY</v>
      </c>
      <c r="C2586" s="4">
        <v>16</v>
      </c>
      <c r="D2586" s="3">
        <v>1.2108528999999999</v>
      </c>
      <c r="E2586" s="1">
        <v>0.21678321</v>
      </c>
      <c r="F2586" s="2">
        <v>0.28275790000000001</v>
      </c>
    </row>
    <row r="2587" spans="1:6" x14ac:dyDescent="0.25">
      <c r="A2587" t="s">
        <v>10</v>
      </c>
      <c r="B2587" s="5" t="str">
        <f>HYPERLINK("http://www.broadinstitute.org/gsea/msigdb/cards/REACTOME_SIGNALING_BY_ERBB4.html","REACTOME_SIGNALING_BY_ERBB4")</f>
        <v>REACTOME_SIGNALING_BY_ERBB4</v>
      </c>
      <c r="C2587" s="4">
        <v>33</v>
      </c>
      <c r="D2587" s="3">
        <v>1.2102803</v>
      </c>
      <c r="E2587" s="1">
        <v>0.1858108</v>
      </c>
      <c r="F2587" s="2">
        <v>0.28358346000000001</v>
      </c>
    </row>
    <row r="2588" spans="1:6" x14ac:dyDescent="0.25">
      <c r="A2588" t="s">
        <v>6</v>
      </c>
      <c r="B2588" s="5" t="str">
        <f>HYPERLINK("http://www.broadinstitute.org/gsea/msigdb/cards/GOBP_HOMOPHILIC_CELL_ADHESION_VIA_PLASMA_MEMBRANE_ADHESION_MOLECULES.html","GOBP_HOMOPHILIC_CELL_ADHESION_VIA_PLASMA_MEMBRANE_ADHESION_MOLECULES")</f>
        <v>GOBP_HOMOPHILIC_CELL_ADHESION_VIA_PLASMA_MEMBRANE_ADHESION_MOLECULES</v>
      </c>
      <c r="C2588" s="4">
        <v>109</v>
      </c>
      <c r="D2588" s="3">
        <v>1.2102758</v>
      </c>
      <c r="E2588" s="1">
        <v>0.14285714999999999</v>
      </c>
      <c r="F2588" s="2">
        <v>0.2834796</v>
      </c>
    </row>
    <row r="2589" spans="1:6" x14ac:dyDescent="0.25">
      <c r="A2589" t="s">
        <v>6</v>
      </c>
      <c r="B2589" s="5" t="str">
        <f>HYPERLINK("http://www.broadinstitute.org/gsea/msigdb/cards/GOBP_STEROID_HORMONE_BIOSYNTHETIC_PROCESS.html","GOBP_STEROID_HORMONE_BIOSYNTHETIC_PROCESS")</f>
        <v>GOBP_STEROID_HORMONE_BIOSYNTHETIC_PROCESS</v>
      </c>
      <c r="C2589" s="4">
        <v>33</v>
      </c>
      <c r="D2589" s="3">
        <v>1.2097180999999999</v>
      </c>
      <c r="E2589" s="1">
        <v>0.21196581</v>
      </c>
      <c r="F2589" s="2">
        <v>0.28429124</v>
      </c>
    </row>
    <row r="2590" spans="1:6" x14ac:dyDescent="0.25">
      <c r="A2590" t="s">
        <v>10</v>
      </c>
      <c r="B2590" s="5" t="str">
        <f>HYPERLINK("http://www.broadinstitute.org/gsea/msigdb/cards/REACTOME_DDX58_IFIH1_MEDIATED_INDUCTION_OF_INTERFERON_ALPHA_BETA.html","REACTOME_DDX58_IFIH1_MEDIATED_INDUCTION_OF_INTERFERON_ALPHA_BETA")</f>
        <v>REACTOME_DDX58_IFIH1_MEDIATED_INDUCTION_OF_INTERFERON_ALPHA_BETA</v>
      </c>
      <c r="C2590" s="4">
        <v>33</v>
      </c>
      <c r="D2590" s="3">
        <v>1.2096665</v>
      </c>
      <c r="E2590" s="1">
        <v>0.19572368000000001</v>
      </c>
      <c r="F2590" s="2">
        <v>0.28426430000000003</v>
      </c>
    </row>
    <row r="2591" spans="1:6" x14ac:dyDescent="0.25">
      <c r="A2591" t="s">
        <v>6</v>
      </c>
      <c r="B2591" s="5" t="str">
        <f>HYPERLINK("http://www.broadinstitute.org/gsea/msigdb/cards/GOBP_MYELIN_MAINTENANCE.html","GOBP_MYELIN_MAINTENANCE")</f>
        <v>GOBP_MYELIN_MAINTENANCE</v>
      </c>
      <c r="C2591" s="4">
        <v>18</v>
      </c>
      <c r="D2591" s="3">
        <v>1.2094692</v>
      </c>
      <c r="E2591" s="1">
        <v>0.21514630000000001</v>
      </c>
      <c r="F2591" s="2">
        <v>0.28447568000000001</v>
      </c>
    </row>
    <row r="2592" spans="1:6" x14ac:dyDescent="0.25">
      <c r="A2592" t="s">
        <v>6</v>
      </c>
      <c r="B2592" s="5" t="str">
        <f>HYPERLINK("http://www.broadinstitute.org/gsea/msigdb/cards/GOBP_REGULATION_OF_EXTRACELLULAR_MATRIX_ASSEMBLY.html","GOBP_REGULATION_OF_EXTRACELLULAR_MATRIX_ASSEMBLY")</f>
        <v>GOBP_REGULATION_OF_EXTRACELLULAR_MATRIX_ASSEMBLY</v>
      </c>
      <c r="C2592" s="4">
        <v>17</v>
      </c>
      <c r="D2592" s="3">
        <v>1.209438</v>
      </c>
      <c r="E2592" s="1">
        <v>0.21863799</v>
      </c>
      <c r="F2592" s="2">
        <v>0.28441483000000001</v>
      </c>
    </row>
    <row r="2593" spans="1:6" x14ac:dyDescent="0.25">
      <c r="A2593" t="s">
        <v>11</v>
      </c>
      <c r="B2593" s="5" t="str">
        <f>HYPERLINK("http://www.broadinstitute.org/gsea/msigdb/cards/WP_SPHINGOLIPID_METABOLISM_OVERVIEW.html","WP_SPHINGOLIPID_METABOLISM_OVERVIEW")</f>
        <v>WP_SPHINGOLIPID_METABOLISM_OVERVIEW</v>
      </c>
      <c r="C2593" s="4">
        <v>23</v>
      </c>
      <c r="D2593" s="3">
        <v>1.2093126999999999</v>
      </c>
      <c r="E2593" s="1">
        <v>0.21291447999999999</v>
      </c>
      <c r="F2593" s="2">
        <v>0.28450826000000001</v>
      </c>
    </row>
    <row r="2594" spans="1:6" x14ac:dyDescent="0.25">
      <c r="A2594" t="s">
        <v>6</v>
      </c>
      <c r="B2594" s="5" t="str">
        <f>HYPERLINK("http://www.broadinstitute.org/gsea/msigdb/cards/GOBP_REGULATION_OF_SYSTEMIC_ARTERIAL_BLOOD_PRESSURE_BY_HORMONE.html","GOBP_REGULATION_OF_SYSTEMIC_ARTERIAL_BLOOD_PRESSURE_BY_HORMONE")</f>
        <v>GOBP_REGULATION_OF_SYSTEMIC_ARTERIAL_BLOOD_PRESSURE_BY_HORMONE</v>
      </c>
      <c r="C2594" s="4">
        <v>43</v>
      </c>
      <c r="D2594" s="3">
        <v>1.2092457000000001</v>
      </c>
      <c r="E2594" s="1">
        <v>0.17578773</v>
      </c>
      <c r="F2594" s="2">
        <v>0.28451058000000001</v>
      </c>
    </row>
    <row r="2595" spans="1:6" x14ac:dyDescent="0.25">
      <c r="A2595" t="s">
        <v>6</v>
      </c>
      <c r="B2595" s="5" t="str">
        <f>HYPERLINK("http://www.broadinstitute.org/gsea/msigdb/cards/GOBP_MORPHOGENESIS_OF_A_POLARIZED_EPITHELIUM.html","GOBP_MORPHOGENESIS_OF_A_POLARIZED_EPITHELIUM")</f>
        <v>GOBP_MORPHOGENESIS_OF_A_POLARIZED_EPITHELIUM</v>
      </c>
      <c r="C2595" s="4">
        <v>90</v>
      </c>
      <c r="D2595" s="3">
        <v>1.2092364</v>
      </c>
      <c r="E2595" s="1">
        <v>0.14961832999999999</v>
      </c>
      <c r="F2595" s="2">
        <v>0.28441792999999999</v>
      </c>
    </row>
    <row r="2596" spans="1:6" x14ac:dyDescent="0.25">
      <c r="A2596" t="s">
        <v>6</v>
      </c>
      <c r="B2596" s="5" t="str">
        <f>HYPERLINK("http://www.broadinstitute.org/gsea/msigdb/cards/GOBP_NEGATIVE_REGULATION_OF_T_HELPER_CELL_DIFFERENTIATION.html","GOBP_NEGATIVE_REGULATION_OF_T_HELPER_CELL_DIFFERENTIATION")</f>
        <v>GOBP_NEGATIVE_REGULATION_OF_T_HELPER_CELL_DIFFERENTIATION</v>
      </c>
      <c r="C2596" s="4">
        <v>21</v>
      </c>
      <c r="D2596" s="3">
        <v>1.2087680999999999</v>
      </c>
      <c r="E2596" s="1">
        <v>0.21476509999999999</v>
      </c>
      <c r="F2596" s="2">
        <v>0.28505720000000001</v>
      </c>
    </row>
    <row r="2597" spans="1:6" x14ac:dyDescent="0.25">
      <c r="A2597" t="s">
        <v>6</v>
      </c>
      <c r="B2597" s="5" t="str">
        <f>HYPERLINK("http://www.broadinstitute.org/gsea/msigdb/cards/GOBP_TOR_SIGNALING.html","GOBP_TOR_SIGNALING")</f>
        <v>GOBP_TOR_SIGNALING</v>
      </c>
      <c r="C2597" s="4">
        <v>168</v>
      </c>
      <c r="D2597" s="3">
        <v>1.2080544</v>
      </c>
      <c r="E2597" s="1">
        <v>0.10632184</v>
      </c>
      <c r="F2597" s="2">
        <v>0.28611716999999998</v>
      </c>
    </row>
    <row r="2598" spans="1:6" x14ac:dyDescent="0.25">
      <c r="A2598" t="s">
        <v>6</v>
      </c>
      <c r="B2598" s="5" t="str">
        <f>HYPERLINK("http://www.broadinstitute.org/gsea/msigdb/cards/GOBP_POSITIVE_REGULATION_OF_EXOCYTOSIS.html","GOBP_POSITIVE_REGULATION_OF_EXOCYTOSIS")</f>
        <v>GOBP_POSITIVE_REGULATION_OF_EXOCYTOSIS</v>
      </c>
      <c r="C2598" s="4">
        <v>97</v>
      </c>
      <c r="D2598" s="3">
        <v>1.2074472999999999</v>
      </c>
      <c r="E2598" s="1">
        <v>0.12352941000000001</v>
      </c>
      <c r="F2598" s="2">
        <v>0.28697919999999999</v>
      </c>
    </row>
    <row r="2599" spans="1:6" x14ac:dyDescent="0.25">
      <c r="A2599" t="s">
        <v>6</v>
      </c>
      <c r="B2599" s="5" t="str">
        <f>HYPERLINK("http://www.broadinstitute.org/gsea/msigdb/cards/GOBP_REGULATION_OF_MONOATOMIC_CATION_TRANSMEMBRANE_TRANSPORT.html","GOBP_REGULATION_OF_MONOATOMIC_CATION_TRANSMEMBRANE_TRANSPORT")</f>
        <v>GOBP_REGULATION_OF_MONOATOMIC_CATION_TRANSMEMBRANE_TRANSPORT</v>
      </c>
      <c r="C2599" s="4">
        <v>358</v>
      </c>
      <c r="D2599" s="3">
        <v>1.2074145999999999</v>
      </c>
      <c r="E2599" s="1">
        <v>5.131579E-2</v>
      </c>
      <c r="F2599" s="2">
        <v>0.28692215999999998</v>
      </c>
    </row>
    <row r="2600" spans="1:6" x14ac:dyDescent="0.25">
      <c r="A2600" t="s">
        <v>6</v>
      </c>
      <c r="B2600" s="5" t="str">
        <f>HYPERLINK("http://www.broadinstitute.org/gsea/msigdb/cards/GOBP_REGULATION_OF_PLASMA_LIPOPROTEIN_PARTICLE_LEVELS.html","GOBP_REGULATION_OF_PLASMA_LIPOPROTEIN_PARTICLE_LEVELS")</f>
        <v>GOBP_REGULATION_OF_PLASMA_LIPOPROTEIN_PARTICLE_LEVELS</v>
      </c>
      <c r="C2600" s="4">
        <v>69</v>
      </c>
      <c r="D2600" s="3">
        <v>1.2073198999999999</v>
      </c>
      <c r="E2600" s="1">
        <v>0.17932148000000001</v>
      </c>
      <c r="F2600" s="2">
        <v>0.28695549999999997</v>
      </c>
    </row>
    <row r="2601" spans="1:6" x14ac:dyDescent="0.25">
      <c r="A2601" t="s">
        <v>6</v>
      </c>
      <c r="B2601" s="5" t="str">
        <f>HYPERLINK("http://www.broadinstitute.org/gsea/msigdb/cards/GOBP_RESPONSE_TO_MUSCLE_STRETCH.html","GOBP_RESPONSE_TO_MUSCLE_STRETCH")</f>
        <v>GOBP_RESPONSE_TO_MUSCLE_STRETCH</v>
      </c>
      <c r="C2601" s="4">
        <v>21</v>
      </c>
      <c r="D2601" s="3">
        <v>1.2071748</v>
      </c>
      <c r="E2601" s="1">
        <v>0.20707070999999999</v>
      </c>
      <c r="F2601" s="2">
        <v>0.28708436999999998</v>
      </c>
    </row>
    <row r="2602" spans="1:6" x14ac:dyDescent="0.25">
      <c r="A2602" t="s">
        <v>10</v>
      </c>
      <c r="B2602" s="5" t="str">
        <f>HYPERLINK("http://www.broadinstitute.org/gsea/msigdb/cards/REACTOME_SIGNALING_BY_FGFR1.html","REACTOME_SIGNALING_BY_FGFR1")</f>
        <v>REACTOME_SIGNALING_BY_FGFR1</v>
      </c>
      <c r="C2602" s="4">
        <v>50</v>
      </c>
      <c r="D2602" s="3">
        <v>1.207044</v>
      </c>
      <c r="E2602" s="1">
        <v>0.15384616000000001</v>
      </c>
      <c r="F2602" s="2">
        <v>0.28717356999999999</v>
      </c>
    </row>
    <row r="2603" spans="1:6" x14ac:dyDescent="0.25">
      <c r="A2603" t="s">
        <v>5</v>
      </c>
      <c r="B2603" s="5" t="str">
        <f>HYPERLINK("http://www.broadinstitute.org/gsea/msigdb/cards/BIOCARTA_ARF_PATHWAY.html","BIOCARTA_ARF_PATHWAY")</f>
        <v>BIOCARTA_ARF_PATHWAY</v>
      </c>
      <c r="C2603" s="4">
        <v>16</v>
      </c>
      <c r="D2603" s="3">
        <v>1.2066806999999999</v>
      </c>
      <c r="E2603" s="1">
        <v>0.22021660000000001</v>
      </c>
      <c r="F2603" s="2">
        <v>0.28764616999999998</v>
      </c>
    </row>
    <row r="2604" spans="1:6" x14ac:dyDescent="0.25">
      <c r="A2604" t="s">
        <v>10</v>
      </c>
      <c r="B2604" s="5" t="str">
        <f>HYPERLINK("http://www.broadinstitute.org/gsea/msigdb/cards/REACTOME_INWARDLY_RECTIFYING_K_CHANNELS.html","REACTOME_INWARDLY_RECTIFYING_K_CHANNELS")</f>
        <v>REACTOME_INWARDLY_RECTIFYING_K_CHANNELS</v>
      </c>
      <c r="C2604" s="4">
        <v>34</v>
      </c>
      <c r="D2604" s="3">
        <v>1.2066486999999999</v>
      </c>
      <c r="E2604" s="1">
        <v>0.18686868000000001</v>
      </c>
      <c r="F2604" s="2">
        <v>0.28759183999999999</v>
      </c>
    </row>
    <row r="2605" spans="1:6" x14ac:dyDescent="0.25">
      <c r="A2605" t="s">
        <v>6</v>
      </c>
      <c r="B2605" s="5" t="str">
        <f>HYPERLINK("http://www.broadinstitute.org/gsea/msigdb/cards/GOBP_NUCLEOPHAGY.html","GOBP_NUCLEOPHAGY")</f>
        <v>GOBP_NUCLEOPHAGY</v>
      </c>
      <c r="C2605" s="4">
        <v>19</v>
      </c>
      <c r="D2605" s="3">
        <v>1.2065588</v>
      </c>
      <c r="E2605" s="1">
        <v>0.22597864000000001</v>
      </c>
      <c r="F2605" s="2">
        <v>0.28761667000000002</v>
      </c>
    </row>
    <row r="2606" spans="1:6" x14ac:dyDescent="0.25">
      <c r="A2606" t="s">
        <v>10</v>
      </c>
      <c r="B2606" s="5" t="str">
        <f>HYPERLINK("http://www.broadinstitute.org/gsea/msigdb/cards/REACTOME_RHOC_GTPASE_CYCLE.html","REACTOME_RHOC_GTPASE_CYCLE")</f>
        <v>REACTOME_RHOC_GTPASE_CYCLE</v>
      </c>
      <c r="C2606" s="4">
        <v>70</v>
      </c>
      <c r="D2606" s="3">
        <v>1.2065129000000001</v>
      </c>
      <c r="E2606" s="1">
        <v>0.16855754000000001</v>
      </c>
      <c r="F2606" s="2">
        <v>0.28757712000000002</v>
      </c>
    </row>
    <row r="2607" spans="1:6" x14ac:dyDescent="0.25">
      <c r="A2607" t="s">
        <v>8</v>
      </c>
      <c r="B2607" s="5" t="str">
        <f>HYPERLINK("http://www.broadinstitute.org/gsea/msigdb/cards/GOMF_PHOSPHOTRANSFERASE_ACTIVITY_PHOSPHATE_GROUP_AS_ACCEPTOR.html","GOMF_PHOSPHOTRANSFERASE_ACTIVITY_PHOSPHATE_GROUP_AS_ACCEPTOR")</f>
        <v>GOMF_PHOSPHOTRANSFERASE_ACTIVITY_PHOSPHATE_GROUP_AS_ACCEPTOR</v>
      </c>
      <c r="C2607" s="4">
        <v>29</v>
      </c>
      <c r="D2607" s="3">
        <v>1.2063771000000001</v>
      </c>
      <c r="E2607" s="1">
        <v>0.18537416000000001</v>
      </c>
      <c r="F2607" s="2">
        <v>0.28767323</v>
      </c>
    </row>
    <row r="2608" spans="1:6" x14ac:dyDescent="0.25">
      <c r="A2608" t="s">
        <v>6</v>
      </c>
      <c r="B2608" s="5" t="str">
        <f>HYPERLINK("http://www.broadinstitute.org/gsea/msigdb/cards/GOBP_POSITIVE_REGULATION_OF_VACUOLE_ORGANIZATION.html","GOBP_POSITIVE_REGULATION_OF_VACUOLE_ORGANIZATION")</f>
        <v>GOBP_POSITIVE_REGULATION_OF_VACUOLE_ORGANIZATION</v>
      </c>
      <c r="C2608" s="4">
        <v>25</v>
      </c>
      <c r="D2608" s="3">
        <v>1.2061499</v>
      </c>
      <c r="E2608" s="1">
        <v>0.19322033</v>
      </c>
      <c r="F2608" s="2">
        <v>0.28792736000000002</v>
      </c>
    </row>
    <row r="2609" spans="1:6" x14ac:dyDescent="0.25">
      <c r="A2609" t="s">
        <v>11</v>
      </c>
      <c r="B2609" s="5" t="str">
        <f>HYPERLINK("http://www.broadinstitute.org/gsea/msigdb/cards/WP_NOVEL_JUN_DMP1_PATHWAY.html","WP_NOVEL_JUN_DMP1_PATHWAY")</f>
        <v>WP_NOVEL_JUN_DMP1_PATHWAY</v>
      </c>
      <c r="C2609" s="4">
        <v>25</v>
      </c>
      <c r="D2609" s="3">
        <v>1.2061044000000001</v>
      </c>
      <c r="E2609" s="1">
        <v>0.20798668000000001</v>
      </c>
      <c r="F2609" s="2">
        <v>0.28789957999999999</v>
      </c>
    </row>
    <row r="2610" spans="1:6" x14ac:dyDescent="0.25">
      <c r="A2610" t="s">
        <v>6</v>
      </c>
      <c r="B2610" s="5" t="str">
        <f>HYPERLINK("http://www.broadinstitute.org/gsea/msigdb/cards/GOBP_HEART_VALVE_DEVELOPMENT.html","GOBP_HEART_VALVE_DEVELOPMENT")</f>
        <v>GOBP_HEART_VALVE_DEVELOPMENT</v>
      </c>
      <c r="C2610" s="4">
        <v>64</v>
      </c>
      <c r="D2610" s="3">
        <v>1.2056344999999999</v>
      </c>
      <c r="E2610" s="1">
        <v>0.16242038</v>
      </c>
      <c r="F2610" s="2">
        <v>0.28852102000000002</v>
      </c>
    </row>
    <row r="2611" spans="1:6" x14ac:dyDescent="0.25">
      <c r="A2611" t="s">
        <v>6</v>
      </c>
      <c r="B2611" s="5" t="str">
        <f>HYPERLINK("http://www.broadinstitute.org/gsea/msigdb/cards/GOBP_CARBOHYDRATE_DERIVATIVE_TRANSPORT.html","GOBP_CARBOHYDRATE_DERIVATIVE_TRANSPORT")</f>
        <v>GOBP_CARBOHYDRATE_DERIVATIVE_TRANSPORT</v>
      </c>
      <c r="C2611" s="4">
        <v>73</v>
      </c>
      <c r="D2611" s="3">
        <v>1.2051369999999999</v>
      </c>
      <c r="E2611" s="1">
        <v>0.15880503000000001</v>
      </c>
      <c r="F2611" s="2">
        <v>0.28922274999999997</v>
      </c>
    </row>
    <row r="2612" spans="1:6" x14ac:dyDescent="0.25">
      <c r="A2612" t="s">
        <v>6</v>
      </c>
      <c r="B2612" s="5" t="str">
        <f>HYPERLINK("http://www.broadinstitute.org/gsea/msigdb/cards/GOBP_CELLULAR_RESPONSE_TO_CAMP.html","GOBP_CELLULAR_RESPONSE_TO_CAMP")</f>
        <v>GOBP_CELLULAR_RESPONSE_TO_CAMP</v>
      </c>
      <c r="C2612" s="4">
        <v>37</v>
      </c>
      <c r="D2612" s="3">
        <v>1.2048700000000001</v>
      </c>
      <c r="E2612" s="1">
        <v>0.20754717</v>
      </c>
      <c r="F2612" s="2">
        <v>0.28955101999999999</v>
      </c>
    </row>
    <row r="2613" spans="1:6" x14ac:dyDescent="0.25">
      <c r="A2613" t="s">
        <v>6</v>
      </c>
      <c r="B2613" s="5" t="str">
        <f>HYPERLINK("http://www.broadinstitute.org/gsea/msigdb/cards/GOBP_CELLULAR_RESPONSE_TO_COLD.html","GOBP_CELLULAR_RESPONSE_TO_COLD")</f>
        <v>GOBP_CELLULAR_RESPONSE_TO_COLD</v>
      </c>
      <c r="C2613" s="4">
        <v>16</v>
      </c>
      <c r="D2613" s="3">
        <v>1.2046741999999999</v>
      </c>
      <c r="E2613" s="1">
        <v>0.22495607000000001</v>
      </c>
      <c r="F2613" s="2">
        <v>0.28975793999999999</v>
      </c>
    </row>
    <row r="2614" spans="1:6" x14ac:dyDescent="0.25">
      <c r="A2614" t="s">
        <v>8</v>
      </c>
      <c r="B2614" s="5" t="str">
        <f>HYPERLINK("http://www.broadinstitute.org/gsea/msigdb/cards/GOMF_AMINO_ACID_BINDING.html","GOMF_AMINO_ACID_BINDING")</f>
        <v>GOMF_AMINO_ACID_BINDING</v>
      </c>
      <c r="C2614" s="4">
        <v>67</v>
      </c>
      <c r="D2614" s="3">
        <v>1.2045109000000001</v>
      </c>
      <c r="E2614" s="1">
        <v>0.17846154</v>
      </c>
      <c r="F2614" s="2">
        <v>0.28991929999999999</v>
      </c>
    </row>
    <row r="2615" spans="1:6" x14ac:dyDescent="0.25">
      <c r="A2615" t="s">
        <v>6</v>
      </c>
      <c r="B2615" s="5" t="str">
        <f>HYPERLINK("http://www.broadinstitute.org/gsea/msigdb/cards/GOBP_REGULATION_OF_RENAL_SYSTEM_PROCESS.html","GOBP_REGULATION_OF_RENAL_SYSTEM_PROCESS")</f>
        <v>GOBP_REGULATION_OF_RENAL_SYSTEM_PROCESS</v>
      </c>
      <c r="C2615" s="4">
        <v>23</v>
      </c>
      <c r="D2615" s="3">
        <v>1.2036184000000001</v>
      </c>
      <c r="E2615" s="1">
        <v>0.20137693000000001</v>
      </c>
      <c r="F2615" s="2">
        <v>0.29130070000000002</v>
      </c>
    </row>
    <row r="2616" spans="1:6" x14ac:dyDescent="0.25">
      <c r="A2616" t="s">
        <v>9</v>
      </c>
      <c r="B2616" s="5" t="str">
        <f>HYPERLINK("http://www.broadinstitute.org/gsea/msigdb/cards/HALLMARK_ESTROGEN_RESPONSE_LATE.html","HALLMARK_ESTROGEN_RESPONSE_LATE")</f>
        <v>HALLMARK_ESTROGEN_RESPONSE_LATE</v>
      </c>
      <c r="C2616" s="4">
        <v>192</v>
      </c>
      <c r="D2616" s="3">
        <v>1.2036084</v>
      </c>
      <c r="E2616" s="1">
        <v>0.11065007</v>
      </c>
      <c r="F2616" s="2">
        <v>0.29120954999999998</v>
      </c>
    </row>
    <row r="2617" spans="1:6" x14ac:dyDescent="0.25">
      <c r="A2617" t="s">
        <v>8</v>
      </c>
      <c r="B2617" s="5" t="str">
        <f>HYPERLINK("http://www.broadinstitute.org/gsea/msigdb/cards/GOMF_PROTEIN_PHOSPHATASE_2A_BINDING.html","GOMF_PROTEIN_PHOSPHATASE_2A_BINDING")</f>
        <v>GOMF_PROTEIN_PHOSPHATASE_2A_BINDING</v>
      </c>
      <c r="C2617" s="4">
        <v>37</v>
      </c>
      <c r="D2617" s="3">
        <v>1.2029890999999999</v>
      </c>
      <c r="E2617" s="1">
        <v>0.19093852</v>
      </c>
      <c r="F2617" s="2">
        <v>0.29210799999999998</v>
      </c>
    </row>
    <row r="2618" spans="1:6" x14ac:dyDescent="0.25">
      <c r="A2618" t="s">
        <v>6</v>
      </c>
      <c r="B2618" s="5" t="str">
        <f>HYPERLINK("http://www.broadinstitute.org/gsea/msigdb/cards/GOBP_CELLULAR_RESPONSE_TO_GLUCOSE_STARVATION.html","GOBP_CELLULAR_RESPONSE_TO_GLUCOSE_STARVATION")</f>
        <v>GOBP_CELLULAR_RESPONSE_TO_GLUCOSE_STARVATION</v>
      </c>
      <c r="C2618" s="4">
        <v>48</v>
      </c>
      <c r="D2618" s="3">
        <v>1.2029601000000001</v>
      </c>
      <c r="E2618" s="1">
        <v>0.18387096999999999</v>
      </c>
      <c r="F2618" s="2">
        <v>0.29203895000000002</v>
      </c>
    </row>
    <row r="2619" spans="1:6" x14ac:dyDescent="0.25">
      <c r="A2619" t="s">
        <v>8</v>
      </c>
      <c r="B2619" s="5" t="str">
        <f>HYPERLINK("http://www.broadinstitute.org/gsea/msigdb/cards/GOMF_PHOSPHATIDIC_ACID_BINDING.html","GOMF_PHOSPHATIDIC_ACID_BINDING")</f>
        <v>GOMF_PHOSPHATIDIC_ACID_BINDING</v>
      </c>
      <c r="C2619" s="4">
        <v>23</v>
      </c>
      <c r="D2619" s="3">
        <v>1.2025352</v>
      </c>
      <c r="E2619" s="1">
        <v>0.22767076</v>
      </c>
      <c r="F2619" s="2">
        <v>0.29262300000000002</v>
      </c>
    </row>
    <row r="2620" spans="1:6" x14ac:dyDescent="0.25">
      <c r="A2620" t="s">
        <v>10</v>
      </c>
      <c r="B2620" s="5" t="str">
        <f>HYPERLINK("http://www.broadinstitute.org/gsea/msigdb/cards/REACTOME_BLOOD_GROUP_SYSTEMS_BIOSYNTHESIS.html","REACTOME_BLOOD_GROUP_SYSTEMS_BIOSYNTHESIS")</f>
        <v>REACTOME_BLOOD_GROUP_SYSTEMS_BIOSYNTHESIS</v>
      </c>
      <c r="C2620" s="4">
        <v>17</v>
      </c>
      <c r="D2620" s="3">
        <v>1.2024732</v>
      </c>
      <c r="E2620" s="1">
        <v>0.21761657000000001</v>
      </c>
      <c r="F2620" s="2">
        <v>0.29260933</v>
      </c>
    </row>
    <row r="2621" spans="1:6" x14ac:dyDescent="0.25">
      <c r="A2621" t="s">
        <v>10</v>
      </c>
      <c r="B2621" s="5" t="str">
        <f>HYPERLINK("http://www.broadinstitute.org/gsea/msigdb/cards/REACTOME_NEGATIVE_REGULATION_OF_FGFR4_SIGNALING.html","REACTOME_NEGATIVE_REGULATION_OF_FGFR4_SIGNALING")</f>
        <v>REACTOME_NEGATIVE_REGULATION_OF_FGFR4_SIGNALING</v>
      </c>
      <c r="C2621" s="4">
        <v>31</v>
      </c>
      <c r="D2621" s="3">
        <v>1.2019593</v>
      </c>
      <c r="E2621" s="1">
        <v>0.20330577999999999</v>
      </c>
      <c r="F2621" s="2">
        <v>0.29334638000000002</v>
      </c>
    </row>
    <row r="2622" spans="1:6" x14ac:dyDescent="0.25">
      <c r="A2622" t="s">
        <v>6</v>
      </c>
      <c r="B2622" s="5" t="str">
        <f>HYPERLINK("http://www.broadinstitute.org/gsea/msigdb/cards/GOBP_NEGATIVE_REGULATION_OF_LYMPHOCYTE_APOPTOTIC_PROCESS.html","GOBP_NEGATIVE_REGULATION_OF_LYMPHOCYTE_APOPTOTIC_PROCESS")</f>
        <v>GOBP_NEGATIVE_REGULATION_OF_LYMPHOCYTE_APOPTOTIC_PROCESS</v>
      </c>
      <c r="C2622" s="4">
        <v>46</v>
      </c>
      <c r="D2622" s="3">
        <v>1.2019366</v>
      </c>
      <c r="E2622" s="1">
        <v>0.17320262</v>
      </c>
      <c r="F2622" s="2">
        <v>0.29327235000000001</v>
      </c>
    </row>
    <row r="2623" spans="1:6" x14ac:dyDescent="0.25">
      <c r="A2623" t="s">
        <v>5</v>
      </c>
      <c r="B2623" s="5" t="str">
        <f>HYPERLINK("http://www.broadinstitute.org/gsea/msigdb/cards/BIOCARTA_FMLP_PATHWAY.html","BIOCARTA_FMLP_PATHWAY")</f>
        <v>BIOCARTA_FMLP_PATHWAY</v>
      </c>
      <c r="C2623" s="4">
        <v>31</v>
      </c>
      <c r="D2623" s="3">
        <v>1.2017651</v>
      </c>
      <c r="E2623" s="1">
        <v>0.20735785000000001</v>
      </c>
      <c r="F2623" s="2">
        <v>0.29344093999999998</v>
      </c>
    </row>
    <row r="2624" spans="1:6" x14ac:dyDescent="0.25">
      <c r="A2624" t="s">
        <v>10</v>
      </c>
      <c r="B2624" s="5" t="str">
        <f>HYPERLINK("http://www.broadinstitute.org/gsea/msigdb/cards/REACTOME_TIE2_SIGNALING.html","REACTOME_TIE2_SIGNALING")</f>
        <v>REACTOME_TIE2_SIGNALING</v>
      </c>
      <c r="C2624" s="4">
        <v>17</v>
      </c>
      <c r="D2624" s="3">
        <v>1.2017055000000001</v>
      </c>
      <c r="E2624" s="1">
        <v>0.24014336999999999</v>
      </c>
      <c r="F2624" s="2">
        <v>0.29343107000000002</v>
      </c>
    </row>
    <row r="2625" spans="1:6" x14ac:dyDescent="0.25">
      <c r="A2625" t="s">
        <v>7</v>
      </c>
      <c r="B2625" s="5" t="str">
        <f>HYPERLINK("http://www.broadinstitute.org/gsea/msigdb/cards/GOCC_NUCLEAR_MEMBRANE.html","GOCC_NUCLEAR_MEMBRANE")</f>
        <v>GOCC_NUCLEAR_MEMBRANE</v>
      </c>
      <c r="C2625" s="4">
        <v>251</v>
      </c>
      <c r="D2625" s="3">
        <v>1.2016412999999999</v>
      </c>
      <c r="E2625" s="1">
        <v>8.1659969999999998E-2</v>
      </c>
      <c r="F2625" s="2">
        <v>0.29342675000000001</v>
      </c>
    </row>
    <row r="2626" spans="1:6" x14ac:dyDescent="0.25">
      <c r="A2626" t="s">
        <v>8</v>
      </c>
      <c r="B2626" s="5" t="str">
        <f>HYPERLINK("http://www.broadinstitute.org/gsea/msigdb/cards/GOMF_UBIQUITIN_LIKE_PROTEIN_LIGASE_BINDING.html","GOMF_UBIQUITIN_LIKE_PROTEIN_LIGASE_BINDING")</f>
        <v>GOMF_UBIQUITIN_LIKE_PROTEIN_LIGASE_BINDING</v>
      </c>
      <c r="C2626" s="4">
        <v>331</v>
      </c>
      <c r="D2626" s="3">
        <v>1.2008198000000001</v>
      </c>
      <c r="E2626" s="1">
        <v>7.1240104999999998E-2</v>
      </c>
      <c r="F2626" s="2">
        <v>0.29469645</v>
      </c>
    </row>
    <row r="2627" spans="1:6" x14ac:dyDescent="0.25">
      <c r="A2627" t="s">
        <v>6</v>
      </c>
      <c r="B2627" s="5" t="str">
        <f>HYPERLINK("http://www.broadinstitute.org/gsea/msigdb/cards/GOBP_COPPER_ION_HOMEOSTASIS.html","GOBP_COPPER_ION_HOMEOSTASIS")</f>
        <v>GOBP_COPPER_ION_HOMEOSTASIS</v>
      </c>
      <c r="C2627" s="4">
        <v>17</v>
      </c>
      <c r="D2627" s="3">
        <v>1.2006463000000001</v>
      </c>
      <c r="E2627" s="1">
        <v>0.24469821</v>
      </c>
      <c r="F2627" s="2">
        <v>0.29487637</v>
      </c>
    </row>
    <row r="2628" spans="1:6" x14ac:dyDescent="0.25">
      <c r="A2628" t="s">
        <v>8</v>
      </c>
      <c r="B2628" s="5" t="str">
        <f>HYPERLINK("http://www.broadinstitute.org/gsea/msigdb/cards/GOMF_CALCIUM_DEPENDENT_PHOSPHOLIPID_BINDING.html","GOMF_CALCIUM_DEPENDENT_PHOSPHOLIPID_BINDING")</f>
        <v>GOMF_CALCIUM_DEPENDENT_PHOSPHOLIPID_BINDING</v>
      </c>
      <c r="C2628" s="4">
        <v>54</v>
      </c>
      <c r="D2628" s="3">
        <v>1.2004676000000001</v>
      </c>
      <c r="E2628" s="1">
        <v>0.19745223000000001</v>
      </c>
      <c r="F2628" s="2">
        <v>0.29505867000000002</v>
      </c>
    </row>
    <row r="2629" spans="1:6" x14ac:dyDescent="0.25">
      <c r="A2629" t="s">
        <v>6</v>
      </c>
      <c r="B2629" s="5" t="str">
        <f>HYPERLINK("http://www.broadinstitute.org/gsea/msigdb/cards/GOBP_PSEUDOPODIUM_ORGANIZATION.html","GOBP_PSEUDOPODIUM_ORGANIZATION")</f>
        <v>GOBP_PSEUDOPODIUM_ORGANIZATION</v>
      </c>
      <c r="C2629" s="4">
        <v>15</v>
      </c>
      <c r="D2629" s="3">
        <v>1.2004128000000001</v>
      </c>
      <c r="E2629" s="1">
        <v>0.22086956999999999</v>
      </c>
      <c r="F2629" s="2">
        <v>0.29503784</v>
      </c>
    </row>
    <row r="2630" spans="1:6" x14ac:dyDescent="0.25">
      <c r="A2630" t="s">
        <v>6</v>
      </c>
      <c r="B2630" s="5" t="str">
        <f>HYPERLINK("http://www.broadinstitute.org/gsea/msigdb/cards/GOBP_NEGATIVE_REGULATION_OF_CELL_PROJECTION_ORGANIZATION.html","GOBP_NEGATIVE_REGULATION_OF_CELL_PROJECTION_ORGANIZATION")</f>
        <v>GOBP_NEGATIVE_REGULATION_OF_CELL_PROJECTION_ORGANIZATION</v>
      </c>
      <c r="C2630" s="4">
        <v>215</v>
      </c>
      <c r="D2630" s="3">
        <v>1.2002269999999999</v>
      </c>
      <c r="E2630" s="1">
        <v>9.5639944000000005E-2</v>
      </c>
      <c r="F2630" s="2">
        <v>0.29523948</v>
      </c>
    </row>
    <row r="2631" spans="1:6" x14ac:dyDescent="0.25">
      <c r="A2631" t="s">
        <v>6</v>
      </c>
      <c r="B2631" s="5" t="str">
        <f>HYPERLINK("http://www.broadinstitute.org/gsea/msigdb/cards/GOBP_REGULATION_OF_NUCLEOTIDE_METABOLIC_PROCESS.html","GOBP_REGULATION_OF_NUCLEOTIDE_METABOLIC_PROCESS")</f>
        <v>GOBP_REGULATION_OF_NUCLEOTIDE_METABOLIC_PROCESS</v>
      </c>
      <c r="C2631" s="4">
        <v>53</v>
      </c>
      <c r="D2631" s="3">
        <v>1.2002016</v>
      </c>
      <c r="E2631" s="1">
        <v>0.17094018</v>
      </c>
      <c r="F2631" s="2">
        <v>0.29517209999999999</v>
      </c>
    </row>
    <row r="2632" spans="1:6" x14ac:dyDescent="0.25">
      <c r="A2632" t="s">
        <v>6</v>
      </c>
      <c r="B2632" s="5" t="str">
        <f>HYPERLINK("http://www.broadinstitute.org/gsea/msigdb/cards/GOBP_RESPONSE_TO_HEPATOCYTE_GROWTH_FACTOR.html","GOBP_RESPONSE_TO_HEPATOCYTE_GROWTH_FACTOR")</f>
        <v>GOBP_RESPONSE_TO_HEPATOCYTE_GROWTH_FACTOR</v>
      </c>
      <c r="C2632" s="4">
        <v>17</v>
      </c>
      <c r="D2632" s="3">
        <v>1.1994342</v>
      </c>
      <c r="E2632" s="1">
        <v>0.23143351000000001</v>
      </c>
      <c r="F2632" s="2">
        <v>0.29636768000000002</v>
      </c>
    </row>
    <row r="2633" spans="1:6" x14ac:dyDescent="0.25">
      <c r="A2633" t="s">
        <v>6</v>
      </c>
      <c r="B2633" s="5" t="str">
        <f>HYPERLINK("http://www.broadinstitute.org/gsea/msigdb/cards/GOBP_REGULATION_OF_GOLGI_ORGANIZATION.html","GOBP_REGULATION_OF_GOLGI_ORGANIZATION")</f>
        <v>GOBP_REGULATION_OF_GOLGI_ORGANIZATION</v>
      </c>
      <c r="C2633" s="4">
        <v>17</v>
      </c>
      <c r="D2633" s="3">
        <v>1.1990107999999999</v>
      </c>
      <c r="E2633" s="1">
        <v>0.21843003</v>
      </c>
      <c r="F2633" s="2">
        <v>0.29693648</v>
      </c>
    </row>
    <row r="2634" spans="1:6" x14ac:dyDescent="0.25">
      <c r="A2634" t="s">
        <v>6</v>
      </c>
      <c r="B2634" s="5" t="str">
        <f>HYPERLINK("http://www.broadinstitute.org/gsea/msigdb/cards/GOBP_SULFATION.html","GOBP_SULFATION")</f>
        <v>GOBP_SULFATION</v>
      </c>
      <c r="C2634" s="4">
        <v>21</v>
      </c>
      <c r="D2634" s="3">
        <v>1.1984522</v>
      </c>
      <c r="E2634" s="1">
        <v>0.23232322999999999</v>
      </c>
      <c r="F2634" s="2">
        <v>0.29774970000000001</v>
      </c>
    </row>
    <row r="2635" spans="1:6" x14ac:dyDescent="0.25">
      <c r="A2635" t="s">
        <v>8</v>
      </c>
      <c r="B2635" s="5" t="str">
        <f>HYPERLINK("http://www.broadinstitute.org/gsea/msigdb/cards/GOMF_OXIDOREDUCTASE_ACTIVITY_ACTING_ON_THE_CH_NH_GROUP_OF_DONORS.html","GOMF_OXIDOREDUCTASE_ACTIVITY_ACTING_ON_THE_CH_NH_GROUP_OF_DONORS")</f>
        <v>GOMF_OXIDOREDUCTASE_ACTIVITY_ACTING_ON_THE_CH_NH_GROUP_OF_DONORS</v>
      </c>
      <c r="C2635" s="4">
        <v>28</v>
      </c>
      <c r="D2635" s="3">
        <v>1.1982949000000001</v>
      </c>
      <c r="E2635" s="1">
        <v>0.21501707</v>
      </c>
      <c r="F2635" s="2">
        <v>0.29790652000000001</v>
      </c>
    </row>
    <row r="2636" spans="1:6" x14ac:dyDescent="0.25">
      <c r="A2636" t="s">
        <v>6</v>
      </c>
      <c r="B2636" s="5" t="str">
        <f>HYPERLINK("http://www.broadinstitute.org/gsea/msigdb/cards/GOBP_COTRANSLATIONAL_PROTEIN_TARGETING_TO_MEMBRANE.html","GOBP_COTRANSLATIONAL_PROTEIN_TARGETING_TO_MEMBRANE")</f>
        <v>GOBP_COTRANSLATIONAL_PROTEIN_TARGETING_TO_MEMBRANE</v>
      </c>
      <c r="C2636" s="4">
        <v>19</v>
      </c>
      <c r="D2636" s="3">
        <v>1.1980550000000001</v>
      </c>
      <c r="E2636" s="1">
        <v>0.2212693</v>
      </c>
      <c r="F2636" s="2">
        <v>0.29821086000000002</v>
      </c>
    </row>
    <row r="2637" spans="1:6" x14ac:dyDescent="0.25">
      <c r="A2637" t="s">
        <v>8</v>
      </c>
      <c r="B2637" s="5" t="str">
        <f>HYPERLINK("http://www.broadinstitute.org/gsea/msigdb/cards/GOMF_PHOSPHOLIPID_TRANSFER_ACTIVITY.html","GOMF_PHOSPHOLIPID_TRANSFER_ACTIVITY")</f>
        <v>GOMF_PHOSPHOLIPID_TRANSFER_ACTIVITY</v>
      </c>
      <c r="C2637" s="4">
        <v>22</v>
      </c>
      <c r="D2637" s="3">
        <v>1.1979917</v>
      </c>
      <c r="E2637" s="1">
        <v>0.22045855</v>
      </c>
      <c r="F2637" s="2">
        <v>0.29821377999999998</v>
      </c>
    </row>
    <row r="2638" spans="1:6" x14ac:dyDescent="0.25">
      <c r="A2638" t="s">
        <v>6</v>
      </c>
      <c r="B2638" s="5" t="str">
        <f>HYPERLINK("http://www.broadinstitute.org/gsea/msigdb/cards/GOBP_RUFFLE_ASSEMBLY.html","GOBP_RUFFLE_ASSEMBLY")</f>
        <v>GOBP_RUFFLE_ASSEMBLY</v>
      </c>
      <c r="C2638" s="4">
        <v>43</v>
      </c>
      <c r="D2638" s="3">
        <v>1.196472</v>
      </c>
      <c r="E2638" s="1">
        <v>0.19645733000000001</v>
      </c>
      <c r="F2638" s="2">
        <v>0.30071725999999999</v>
      </c>
    </row>
    <row r="2639" spans="1:6" x14ac:dyDescent="0.25">
      <c r="A2639" t="s">
        <v>6</v>
      </c>
      <c r="B2639" s="5" t="str">
        <f>HYPERLINK("http://www.broadinstitute.org/gsea/msigdb/cards/GOBP_REGULATION_OF_INTRACELLULAR_PROTEIN_TRANSPORT.html","GOBP_REGULATION_OF_INTRACELLULAR_PROTEIN_TRANSPORT")</f>
        <v>GOBP_REGULATION_OF_INTRACELLULAR_PROTEIN_TRANSPORT</v>
      </c>
      <c r="C2639" s="4">
        <v>226</v>
      </c>
      <c r="D2639" s="3">
        <v>1.1964693</v>
      </c>
      <c r="E2639" s="1">
        <v>0.11171662</v>
      </c>
      <c r="F2639" s="2">
        <v>0.30060767999999999</v>
      </c>
    </row>
    <row r="2640" spans="1:6" x14ac:dyDescent="0.25">
      <c r="A2640" t="s">
        <v>6</v>
      </c>
      <c r="B2640" s="5" t="str">
        <f>HYPERLINK("http://www.broadinstitute.org/gsea/msigdb/cards/GOBP_NEGATIVE_REGULATION_OF_TRANSPORTER_ACTIVITY.html","GOBP_NEGATIVE_REGULATION_OF_TRANSPORTER_ACTIVITY")</f>
        <v>GOBP_NEGATIVE_REGULATION_OF_TRANSPORTER_ACTIVITY</v>
      </c>
      <c r="C2640" s="4">
        <v>85</v>
      </c>
      <c r="D2640" s="3">
        <v>1.196439</v>
      </c>
      <c r="E2640" s="1">
        <v>0.15645160999999999</v>
      </c>
      <c r="F2640" s="2">
        <v>0.30054747999999998</v>
      </c>
    </row>
    <row r="2641" spans="1:6" x14ac:dyDescent="0.25">
      <c r="A2641" t="s">
        <v>6</v>
      </c>
      <c r="B2641" s="5" t="str">
        <f>HYPERLINK("http://www.broadinstitute.org/gsea/msigdb/cards/GOBP_SKIN_MORPHOGENESIS.html","GOBP_SKIN_MORPHOGENESIS")</f>
        <v>GOBP_SKIN_MORPHOGENESIS</v>
      </c>
      <c r="C2641" s="4">
        <v>15</v>
      </c>
      <c r="D2641" s="3">
        <v>1.1961942000000001</v>
      </c>
      <c r="E2641" s="1">
        <v>0.24381626000000001</v>
      </c>
      <c r="F2641" s="2">
        <v>0.30085592999999999</v>
      </c>
    </row>
    <row r="2642" spans="1:6" x14ac:dyDescent="0.25">
      <c r="A2642" t="s">
        <v>6</v>
      </c>
      <c r="B2642" s="5" t="str">
        <f>HYPERLINK("http://www.broadinstitute.org/gsea/msigdb/cards/GOBP_POSTSYNAPTIC_NEUROTRANSMITTER_RECEPTOR_INTERNALIZATION.html","GOBP_POSTSYNAPTIC_NEUROTRANSMITTER_RECEPTOR_INTERNALIZATION")</f>
        <v>GOBP_POSTSYNAPTIC_NEUROTRANSMITTER_RECEPTOR_INTERNALIZATION</v>
      </c>
      <c r="C2642" s="4">
        <v>38</v>
      </c>
      <c r="D2642" s="3">
        <v>1.1954738</v>
      </c>
      <c r="E2642" s="1">
        <v>0.19902120000000001</v>
      </c>
      <c r="F2642" s="2">
        <v>0.30193362000000001</v>
      </c>
    </row>
    <row r="2643" spans="1:6" x14ac:dyDescent="0.25">
      <c r="A2643" t="s">
        <v>6</v>
      </c>
      <c r="B2643" s="5" t="str">
        <f>HYPERLINK("http://www.broadinstitute.org/gsea/msigdb/cards/GOBP_BONE_MORPHOGENESIS.html","GOBP_BONE_MORPHOGENESIS")</f>
        <v>GOBP_BONE_MORPHOGENESIS</v>
      </c>
      <c r="C2643" s="4">
        <v>109</v>
      </c>
      <c r="D2643" s="3">
        <v>1.1953368</v>
      </c>
      <c r="E2643" s="1">
        <v>0.13102409000000001</v>
      </c>
      <c r="F2643" s="2">
        <v>0.3020544</v>
      </c>
    </row>
    <row r="2644" spans="1:6" x14ac:dyDescent="0.25">
      <c r="A2644" t="s">
        <v>5</v>
      </c>
      <c r="B2644" s="5" t="str">
        <f>HYPERLINK("http://www.broadinstitute.org/gsea/msigdb/cards/BIOCARTA_MCALPAIN_PATHWAY.html","BIOCARTA_MCALPAIN_PATHWAY")</f>
        <v>BIOCARTA_MCALPAIN_PATHWAY</v>
      </c>
      <c r="C2644" s="4">
        <v>19</v>
      </c>
      <c r="D2644" s="3">
        <v>1.1942463000000001</v>
      </c>
      <c r="E2644" s="1">
        <v>0.24385965000000001</v>
      </c>
      <c r="F2644" s="2">
        <v>0.30375956999999998</v>
      </c>
    </row>
    <row r="2645" spans="1:6" x14ac:dyDescent="0.25">
      <c r="A2645" t="s">
        <v>6</v>
      </c>
      <c r="B2645" s="5" t="str">
        <f>HYPERLINK("http://www.broadinstitute.org/gsea/msigdb/cards/GOBP_REGULATION_OF_GLIOGENESIS.html","GOBP_REGULATION_OF_GLIOGENESIS")</f>
        <v>GOBP_REGULATION_OF_GLIOGENESIS</v>
      </c>
      <c r="C2645" s="4">
        <v>138</v>
      </c>
      <c r="D2645" s="3">
        <v>1.1942096</v>
      </c>
      <c r="E2645" s="1">
        <v>0.13629630000000001</v>
      </c>
      <c r="F2645" s="2">
        <v>0.30370320000000001</v>
      </c>
    </row>
    <row r="2646" spans="1:6" x14ac:dyDescent="0.25">
      <c r="A2646" t="s">
        <v>10</v>
      </c>
      <c r="B2646" s="5" t="str">
        <f>HYPERLINK("http://www.broadinstitute.org/gsea/msigdb/cards/REACTOME_GLUCOSE_METABOLISM.html","REACTOME_GLUCOSE_METABOLISM")</f>
        <v>REACTOME_GLUCOSE_METABOLISM</v>
      </c>
      <c r="C2646" s="4">
        <v>81</v>
      </c>
      <c r="D2646" s="3">
        <v>1.1938187</v>
      </c>
      <c r="E2646" s="1">
        <v>0.16310975</v>
      </c>
      <c r="F2646" s="2">
        <v>0.30424032000000001</v>
      </c>
    </row>
    <row r="2647" spans="1:6" x14ac:dyDescent="0.25">
      <c r="A2647" t="s">
        <v>6</v>
      </c>
      <c r="B2647" s="5" t="str">
        <f>HYPERLINK("http://www.broadinstitute.org/gsea/msigdb/cards/GOBP_STEROID_METABOLIC_PROCESS.html","GOBP_STEROID_METABOLIC_PROCESS")</f>
        <v>GOBP_STEROID_METABOLIC_PROCESS</v>
      </c>
      <c r="C2647" s="4">
        <v>323</v>
      </c>
      <c r="D2647" s="3">
        <v>1.1933526999999999</v>
      </c>
      <c r="E2647" s="1">
        <v>7.6517150000000006E-2</v>
      </c>
      <c r="F2647" s="2">
        <v>0.30490460000000003</v>
      </c>
    </row>
    <row r="2648" spans="1:6" x14ac:dyDescent="0.25">
      <c r="A2648" t="s">
        <v>8</v>
      </c>
      <c r="B2648" s="5" t="str">
        <f>HYPERLINK("http://www.broadinstitute.org/gsea/msigdb/cards/GOMF_SULFUR_COMPOUND_BINDING.html","GOMF_SULFUR_COMPOUND_BINDING")</f>
        <v>GOMF_SULFUR_COMPOUND_BINDING</v>
      </c>
      <c r="C2648" s="4">
        <v>268</v>
      </c>
      <c r="D2648" s="3">
        <v>1.1932663999999999</v>
      </c>
      <c r="E2648" s="1">
        <v>7.8167120000000007E-2</v>
      </c>
      <c r="F2648" s="2">
        <v>0.30493799999999999</v>
      </c>
    </row>
    <row r="2649" spans="1:6" x14ac:dyDescent="0.25">
      <c r="A2649" t="s">
        <v>6</v>
      </c>
      <c r="B2649" s="5" t="str">
        <f>HYPERLINK("http://www.broadinstitute.org/gsea/msigdb/cards/GOBP_POSITIVE_REGULATION_OF_PROTEIN_LOCALIZATION_TO_MEMBRANE.html","GOBP_POSITIVE_REGULATION_OF_PROTEIN_LOCALIZATION_TO_MEMBRANE")</f>
        <v>GOBP_POSITIVE_REGULATION_OF_PROTEIN_LOCALIZATION_TO_MEMBRANE</v>
      </c>
      <c r="C2649" s="4">
        <v>111</v>
      </c>
      <c r="D2649" s="3">
        <v>1.1932338</v>
      </c>
      <c r="E2649" s="1">
        <v>0.14956011999999999</v>
      </c>
      <c r="F2649" s="2">
        <v>0.30488333000000001</v>
      </c>
    </row>
    <row r="2650" spans="1:6" x14ac:dyDescent="0.25">
      <c r="A2650" t="s">
        <v>6</v>
      </c>
      <c r="B2650" s="5" t="str">
        <f>HYPERLINK("http://www.broadinstitute.org/gsea/msigdb/cards/GOBP_ORGANIC_ACID_CATABOLIC_PROCESS.html","GOBP_ORGANIC_ACID_CATABOLIC_PROCESS")</f>
        <v>GOBP_ORGANIC_ACID_CATABOLIC_PROCESS</v>
      </c>
      <c r="C2650" s="4">
        <v>234</v>
      </c>
      <c r="D2650" s="3">
        <v>1.1924030999999999</v>
      </c>
      <c r="E2650" s="1">
        <v>0.117486335</v>
      </c>
      <c r="F2650" s="2">
        <v>0.3061931</v>
      </c>
    </row>
    <row r="2651" spans="1:6" x14ac:dyDescent="0.25">
      <c r="A2651" t="s">
        <v>6</v>
      </c>
      <c r="B2651" s="5" t="str">
        <f>HYPERLINK("http://www.broadinstitute.org/gsea/msigdb/cards/GOBP_VASCULAR_ENDOTHELIAL_CELL_PROLIFERATION.html","GOBP_VASCULAR_ENDOTHELIAL_CELL_PROLIFERATION")</f>
        <v>GOBP_VASCULAR_ENDOTHELIAL_CELL_PROLIFERATION</v>
      </c>
      <c r="C2651" s="4">
        <v>30</v>
      </c>
      <c r="D2651" s="3">
        <v>1.1922884</v>
      </c>
      <c r="E2651" s="1">
        <v>0.22043009999999999</v>
      </c>
      <c r="F2651" s="2">
        <v>0.30627260000000001</v>
      </c>
    </row>
    <row r="2652" spans="1:6" x14ac:dyDescent="0.25">
      <c r="A2652" t="s">
        <v>8</v>
      </c>
      <c r="B2652" s="5" t="str">
        <f>HYPERLINK("http://www.broadinstitute.org/gsea/msigdb/cards/GOMF_NUCLEOSIDE_MONOPHOSPHATE_KINASE_ACTIVITY.html","GOMF_NUCLEOSIDE_MONOPHOSPHATE_KINASE_ACTIVITY")</f>
        <v>GOMF_NUCLEOSIDE_MONOPHOSPHATE_KINASE_ACTIVITY</v>
      </c>
      <c r="C2652" s="4">
        <v>15</v>
      </c>
      <c r="D2652" s="3">
        <v>1.1921614</v>
      </c>
      <c r="E2652" s="1">
        <v>0.24036697000000001</v>
      </c>
      <c r="F2652" s="2">
        <v>0.30636021000000002</v>
      </c>
    </row>
    <row r="2653" spans="1:6" x14ac:dyDescent="0.25">
      <c r="A2653" t="s">
        <v>6</v>
      </c>
      <c r="B2653" s="5" t="str">
        <f>HYPERLINK("http://www.broadinstitute.org/gsea/msigdb/cards/GOBP_REGULATION_OF_EMBRYONIC_DEVELOPMENT.html","GOBP_REGULATION_OF_EMBRYONIC_DEVELOPMENT")</f>
        <v>GOBP_REGULATION_OF_EMBRYONIC_DEVELOPMENT</v>
      </c>
      <c r="C2653" s="4">
        <v>90</v>
      </c>
      <c r="D2653" s="3">
        <v>1.1920333999999999</v>
      </c>
      <c r="E2653" s="1">
        <v>0.15326253000000001</v>
      </c>
      <c r="F2653" s="2">
        <v>0.30646770000000001</v>
      </c>
    </row>
    <row r="2654" spans="1:6" x14ac:dyDescent="0.25">
      <c r="A2654" t="s">
        <v>6</v>
      </c>
      <c r="B2654" s="5" t="str">
        <f>HYPERLINK("http://www.broadinstitute.org/gsea/msigdb/cards/GOBP_PROTEIN_HOMOTETRAMERIZATION.html","GOBP_PROTEIN_HOMOTETRAMERIZATION")</f>
        <v>GOBP_PROTEIN_HOMOTETRAMERIZATION</v>
      </c>
      <c r="C2654" s="4">
        <v>52</v>
      </c>
      <c r="D2654" s="3">
        <v>1.1919763000000001</v>
      </c>
      <c r="E2654" s="1">
        <v>0.18051117999999999</v>
      </c>
      <c r="F2654" s="2">
        <v>0.30645132000000003</v>
      </c>
    </row>
    <row r="2655" spans="1:6" x14ac:dyDescent="0.25">
      <c r="A2655" t="s">
        <v>10</v>
      </c>
      <c r="B2655" s="5" t="str">
        <f>HYPERLINK("http://www.broadinstitute.org/gsea/msigdb/cards/REACTOME_RHOD_GTPASE_CYCLE.html","REACTOME_RHOD_GTPASE_CYCLE")</f>
        <v>REACTOME_RHOD_GTPASE_CYCLE</v>
      </c>
      <c r="C2655" s="4">
        <v>51</v>
      </c>
      <c r="D2655" s="3">
        <v>1.1919029999999999</v>
      </c>
      <c r="E2655" s="1">
        <v>0.18506494000000001</v>
      </c>
      <c r="F2655" s="2">
        <v>0.30646202</v>
      </c>
    </row>
    <row r="2656" spans="1:6" x14ac:dyDescent="0.25">
      <c r="A2656" t="s">
        <v>6</v>
      </c>
      <c r="B2656" s="5" t="str">
        <f>HYPERLINK("http://www.broadinstitute.org/gsea/msigdb/cards/GOBP_POSITIVE_REGULATION_OF_VASCULAR_ENDOTHELIAL_CELL_PROLIFERATION.html","GOBP_POSITIVE_REGULATION_OF_VASCULAR_ENDOTHELIAL_CELL_PROLIFERATION")</f>
        <v>GOBP_POSITIVE_REGULATION_OF_VASCULAR_ENDOTHELIAL_CELL_PROLIFERATION</v>
      </c>
      <c r="C2656" s="4">
        <v>20</v>
      </c>
      <c r="D2656" s="3">
        <v>1.1916226999999999</v>
      </c>
      <c r="E2656" s="1">
        <v>0.24377224</v>
      </c>
      <c r="F2656" s="2">
        <v>0.30680937000000003</v>
      </c>
    </row>
    <row r="2657" spans="1:6" x14ac:dyDescent="0.25">
      <c r="A2657" t="s">
        <v>6</v>
      </c>
      <c r="B2657" s="5" t="str">
        <f>HYPERLINK("http://www.broadinstitute.org/gsea/msigdb/cards/GOBP_OSTEOBLAST_DIFFERENTIATION.html","GOBP_OSTEOBLAST_DIFFERENTIATION")</f>
        <v>GOBP_OSTEOBLAST_DIFFERENTIATION</v>
      </c>
      <c r="C2657" s="4">
        <v>212</v>
      </c>
      <c r="D2657" s="3">
        <v>1.1912917999999999</v>
      </c>
      <c r="E2657" s="1">
        <v>0.11404729</v>
      </c>
      <c r="F2657" s="2">
        <v>0.30724210000000002</v>
      </c>
    </row>
    <row r="2658" spans="1:6" x14ac:dyDescent="0.25">
      <c r="A2658" t="s">
        <v>6</v>
      </c>
      <c r="B2658" s="5" t="str">
        <f>HYPERLINK("http://www.broadinstitute.org/gsea/msigdb/cards/GOBP_NEGATIVE_REGULATION_OF_PROTEIN_IMPORT_INTO_NUCLEUS.html","GOBP_NEGATIVE_REGULATION_OF_PROTEIN_IMPORT_INTO_NUCLEUS")</f>
        <v>GOBP_NEGATIVE_REGULATION_OF_PROTEIN_IMPORT_INTO_NUCLEUS</v>
      </c>
      <c r="C2658" s="4">
        <v>18</v>
      </c>
      <c r="D2658" s="3">
        <v>1.1912909</v>
      </c>
      <c r="E2658" s="1">
        <v>0.23011844000000001</v>
      </c>
      <c r="F2658" s="2">
        <v>0.30712679999999998</v>
      </c>
    </row>
    <row r="2659" spans="1:6" x14ac:dyDescent="0.25">
      <c r="A2659" t="s">
        <v>6</v>
      </c>
      <c r="B2659" s="5" t="str">
        <f>HYPERLINK("http://www.broadinstitute.org/gsea/msigdb/cards/GOBP_GLYCOSIDE_METABOLIC_PROCESS.html","GOBP_GLYCOSIDE_METABOLIC_PROCESS")</f>
        <v>GOBP_GLYCOSIDE_METABOLIC_PROCESS</v>
      </c>
      <c r="C2659" s="4">
        <v>21</v>
      </c>
      <c r="D2659" s="3">
        <v>1.1911514000000001</v>
      </c>
      <c r="E2659" s="1">
        <v>0.22778675000000001</v>
      </c>
      <c r="F2659" s="2">
        <v>0.30724263000000002</v>
      </c>
    </row>
    <row r="2660" spans="1:6" x14ac:dyDescent="0.25">
      <c r="A2660" t="s">
        <v>6</v>
      </c>
      <c r="B2660" s="5" t="str">
        <f>HYPERLINK("http://www.broadinstitute.org/gsea/msigdb/cards/GOBP_ARACHIDONIC_ACID_SECRETION.html","GOBP_ARACHIDONIC_ACID_SECRETION")</f>
        <v>GOBP_ARACHIDONIC_ACID_SECRETION</v>
      </c>
      <c r="C2660" s="4">
        <v>34</v>
      </c>
      <c r="D2660" s="3">
        <v>1.1905528000000001</v>
      </c>
      <c r="E2660" s="1">
        <v>0.21588947</v>
      </c>
      <c r="F2660" s="2">
        <v>0.30816199999999999</v>
      </c>
    </row>
    <row r="2661" spans="1:6" x14ac:dyDescent="0.25">
      <c r="A2661" t="s">
        <v>6</v>
      </c>
      <c r="B2661" s="5" t="str">
        <f>HYPERLINK("http://www.broadinstitute.org/gsea/msigdb/cards/GOBP_NEGATIVE_REGULATION_OF_TRANSFORMING_GROWTH_FACTOR_BETA_RECEPTOR_SIGNALING_PATHWAY.html","GOBP_NEGATIVE_REGULATION_OF_TRANSFORMING_GROWTH_FACTOR_BETA_RECEPTOR_SIGNALING_PATHWAY")</f>
        <v>GOBP_NEGATIVE_REGULATION_OF_TRANSFORMING_GROWTH_FACTOR_BETA_RECEPTOR_SIGNALING_PATHWAY</v>
      </c>
      <c r="C2661" s="4">
        <v>95</v>
      </c>
      <c r="D2661" s="3">
        <v>1.1899862000000001</v>
      </c>
      <c r="E2661" s="1">
        <v>0.16467066</v>
      </c>
      <c r="F2661" s="2">
        <v>0.30901225999999998</v>
      </c>
    </row>
    <row r="2662" spans="1:6" x14ac:dyDescent="0.25">
      <c r="A2662" t="s">
        <v>6</v>
      </c>
      <c r="B2662" s="5" t="str">
        <f>HYPERLINK("http://www.broadinstitute.org/gsea/msigdb/cards/GOBP_ETHER_METABOLIC_PROCESS.html","GOBP_ETHER_METABOLIC_PROCESS")</f>
        <v>GOBP_ETHER_METABOLIC_PROCESS</v>
      </c>
      <c r="C2662" s="4">
        <v>24</v>
      </c>
      <c r="D2662" s="3">
        <v>1.189233</v>
      </c>
      <c r="E2662" s="1">
        <v>0.20035148999999999</v>
      </c>
      <c r="F2662" s="2">
        <v>0.31018980000000002</v>
      </c>
    </row>
    <row r="2663" spans="1:6" x14ac:dyDescent="0.25">
      <c r="A2663" t="s">
        <v>10</v>
      </c>
      <c r="B2663" s="5" t="str">
        <f>HYPERLINK("http://www.broadinstitute.org/gsea/msigdb/cards/REACTOME_SLC_MEDIATED_TRANSMEMBRANE_TRANSPORT.html","REACTOME_SLC_MEDIATED_TRANSMEMBRANE_TRANSPORT")</f>
        <v>REACTOME_SLC_MEDIATED_TRANSMEMBRANE_TRANSPORT</v>
      </c>
      <c r="C2663" s="4">
        <v>224</v>
      </c>
      <c r="D2663" s="3">
        <v>1.1891805</v>
      </c>
      <c r="E2663" s="1">
        <v>0.11310344999999999</v>
      </c>
      <c r="F2663" s="2">
        <v>0.31016110000000002</v>
      </c>
    </row>
    <row r="2664" spans="1:6" x14ac:dyDescent="0.25">
      <c r="A2664" t="s">
        <v>8</v>
      </c>
      <c r="B2664" s="5" t="str">
        <f>HYPERLINK("http://www.broadinstitute.org/gsea/msigdb/cards/GOMF_ORGANIC_ACID_BINDING.html","GOMF_ORGANIC_ACID_BINDING")</f>
        <v>GOMF_ORGANIC_ACID_BINDING</v>
      </c>
      <c r="C2664" s="4">
        <v>222</v>
      </c>
      <c r="D2664" s="3">
        <v>1.1888083</v>
      </c>
      <c r="E2664" s="1">
        <v>9.9857345E-2</v>
      </c>
      <c r="F2664" s="2">
        <v>0.31070045000000002</v>
      </c>
    </row>
    <row r="2665" spans="1:6" x14ac:dyDescent="0.25">
      <c r="A2665" t="s">
        <v>8</v>
      </c>
      <c r="B2665" s="5" t="str">
        <f>HYPERLINK("http://www.broadinstitute.org/gsea/msigdb/cards/GOMF_ADENYLATE_CYCLASE_ACTIVITY.html","GOMF_ADENYLATE_CYCLASE_ACTIVITY")</f>
        <v>GOMF_ADENYLATE_CYCLASE_ACTIVITY</v>
      </c>
      <c r="C2665" s="4">
        <v>19</v>
      </c>
      <c r="D2665" s="3">
        <v>1.1887912</v>
      </c>
      <c r="E2665" s="1">
        <v>0.21611722</v>
      </c>
      <c r="F2665" s="2">
        <v>0.31062114000000002</v>
      </c>
    </row>
    <row r="2666" spans="1:6" x14ac:dyDescent="0.25">
      <c r="A2666" t="s">
        <v>6</v>
      </c>
      <c r="B2666" s="5" t="str">
        <f>HYPERLINK("http://www.broadinstitute.org/gsea/msigdb/cards/GOBP_ACID_SECRETION.html","GOBP_ACID_SECRETION")</f>
        <v>GOBP_ACID_SECRETION</v>
      </c>
      <c r="C2666" s="4">
        <v>52</v>
      </c>
      <c r="D2666" s="3">
        <v>1.1885870999999999</v>
      </c>
      <c r="E2666" s="1">
        <v>0.18107667999999999</v>
      </c>
      <c r="F2666" s="2">
        <v>0.31085062000000002</v>
      </c>
    </row>
    <row r="2667" spans="1:6" x14ac:dyDescent="0.25">
      <c r="A2667" t="s">
        <v>11</v>
      </c>
      <c r="B2667" s="5" t="str">
        <f>HYPERLINK("http://www.broadinstitute.org/gsea/msigdb/cards/WP_DRAVET_SYNDROME_SCN1A_A1783V_POINT_MUTATION_MODEL.html","WP_DRAVET_SYNDROME_SCN1A_A1783V_POINT_MUTATION_MODEL")</f>
        <v>WP_DRAVET_SYNDROME_SCN1A_A1783V_POINT_MUTATION_MODEL</v>
      </c>
      <c r="C2667" s="4">
        <v>72</v>
      </c>
      <c r="D2667" s="3">
        <v>1.1885528999999999</v>
      </c>
      <c r="E2667" s="1">
        <v>0.18167457000000001</v>
      </c>
      <c r="F2667" s="2">
        <v>0.31079283000000002</v>
      </c>
    </row>
    <row r="2668" spans="1:6" x14ac:dyDescent="0.25">
      <c r="A2668" t="s">
        <v>6</v>
      </c>
      <c r="B2668" s="5" t="str">
        <f>HYPERLINK("http://www.broadinstitute.org/gsea/msigdb/cards/GOBP_NEGATIVE_REGULATION_OF_TOLL_LIKE_RECEPTOR_SIGNALING_PATHWAY.html","GOBP_NEGATIVE_REGULATION_OF_TOLL_LIKE_RECEPTOR_SIGNALING_PATHWAY")</f>
        <v>GOBP_NEGATIVE_REGULATION_OF_TOLL_LIKE_RECEPTOR_SIGNALING_PATHWAY</v>
      </c>
      <c r="C2668" s="4">
        <v>19</v>
      </c>
      <c r="D2668" s="3">
        <v>1.1879473</v>
      </c>
      <c r="E2668" s="1">
        <v>0.23275862999999999</v>
      </c>
      <c r="F2668" s="2">
        <v>0.31171460000000001</v>
      </c>
    </row>
    <row r="2669" spans="1:6" x14ac:dyDescent="0.25">
      <c r="A2669" t="s">
        <v>10</v>
      </c>
      <c r="B2669" s="5" t="str">
        <f>HYPERLINK("http://www.broadinstitute.org/gsea/msigdb/cards/REACTOME_INTEGRATION_OF_ENERGY_METABOLISM.html","REACTOME_INTEGRATION_OF_ENERGY_METABOLISM")</f>
        <v>REACTOME_INTEGRATION_OF_ENERGY_METABOLISM</v>
      </c>
      <c r="C2669" s="4">
        <v>74</v>
      </c>
      <c r="D2669" s="3">
        <v>1.1874777999999999</v>
      </c>
      <c r="E2669" s="1">
        <v>0.16476347</v>
      </c>
      <c r="F2669" s="2">
        <v>0.31242316999999997</v>
      </c>
    </row>
    <row r="2670" spans="1:6" x14ac:dyDescent="0.25">
      <c r="A2670" t="s">
        <v>6</v>
      </c>
      <c r="B2670" s="5" t="str">
        <f>HYPERLINK("http://www.broadinstitute.org/gsea/msigdb/cards/GOBP_REGULATION_OF_LIPID_BIOSYNTHETIC_PROCESS.html","GOBP_REGULATION_OF_LIPID_BIOSYNTHETIC_PROCESS")</f>
        <v>GOBP_REGULATION_OF_LIPID_BIOSYNTHETIC_PROCESS</v>
      </c>
      <c r="C2670" s="4">
        <v>210</v>
      </c>
      <c r="D2670" s="3">
        <v>1.1872510999999999</v>
      </c>
      <c r="E2670" s="1">
        <v>0.11126005999999999</v>
      </c>
      <c r="F2670" s="2">
        <v>0.31266314000000001</v>
      </c>
    </row>
    <row r="2671" spans="1:6" x14ac:dyDescent="0.25">
      <c r="A2671" t="s">
        <v>6</v>
      </c>
      <c r="B2671" s="5" t="str">
        <f>HYPERLINK("http://www.broadinstitute.org/gsea/msigdb/cards/GOBP_HORMONE_TRANSPORT.html","GOBP_HORMONE_TRANSPORT")</f>
        <v>GOBP_HORMONE_TRANSPORT</v>
      </c>
      <c r="C2671" s="4">
        <v>384</v>
      </c>
      <c r="D2671" s="3">
        <v>1.1868863999999999</v>
      </c>
      <c r="E2671" s="1">
        <v>7.0422540000000006E-2</v>
      </c>
      <c r="F2671" s="2">
        <v>0.31317368000000001</v>
      </c>
    </row>
    <row r="2672" spans="1:6" x14ac:dyDescent="0.25">
      <c r="A2672" t="s">
        <v>6</v>
      </c>
      <c r="B2672" s="5" t="str">
        <f>HYPERLINK("http://www.broadinstitute.org/gsea/msigdb/cards/GOBP_REGULATION_OF_EXTRINSIC_APOPTOTIC_SIGNALING_PATHWAY_IN_ABSENCE_OF_LIGAND.html","GOBP_REGULATION_OF_EXTRINSIC_APOPTOTIC_SIGNALING_PATHWAY_IN_ABSENCE_OF_LIGAND")</f>
        <v>GOBP_REGULATION_OF_EXTRINSIC_APOPTOTIC_SIGNALING_PATHWAY_IN_ABSENCE_OF_LIGAND</v>
      </c>
      <c r="C2672" s="4">
        <v>45</v>
      </c>
      <c r="D2672" s="3">
        <v>1.1866106999999999</v>
      </c>
      <c r="E2672" s="1">
        <v>0.20065789000000001</v>
      </c>
      <c r="F2672" s="2">
        <v>0.31352194999999999</v>
      </c>
    </row>
    <row r="2673" spans="1:6" x14ac:dyDescent="0.25">
      <c r="A2673" t="s">
        <v>6</v>
      </c>
      <c r="B2673" s="5" t="str">
        <f>HYPERLINK("http://www.broadinstitute.org/gsea/msigdb/cards/GOBP_POSITIVE_REGULATION_OF_BMP_SIGNALING_PATHWAY.html","GOBP_POSITIVE_REGULATION_OF_BMP_SIGNALING_PATHWAY")</f>
        <v>GOBP_POSITIVE_REGULATION_OF_BMP_SIGNALING_PATHWAY</v>
      </c>
      <c r="C2673" s="4">
        <v>40</v>
      </c>
      <c r="D2673" s="3">
        <v>1.1863747</v>
      </c>
      <c r="E2673" s="1">
        <v>0.19901315999999999</v>
      </c>
      <c r="F2673" s="2">
        <v>0.31381550000000002</v>
      </c>
    </row>
    <row r="2674" spans="1:6" x14ac:dyDescent="0.25">
      <c r="A2674" t="s">
        <v>6</v>
      </c>
      <c r="B2674" s="5" t="str">
        <f>HYPERLINK("http://www.broadinstitute.org/gsea/msigdb/cards/GOBP_POSITIVE_REGULATION_OF_CELLULAR_RESPONSE_TO_TRANSFORMING_GROWTH_FACTOR_BETA_STIMULUS.html","GOBP_POSITIVE_REGULATION_OF_CELLULAR_RESPONSE_TO_TRANSFORMING_GROWTH_FACTOR_BETA_STIMULUS")</f>
        <v>GOBP_POSITIVE_REGULATION_OF_CELLULAR_RESPONSE_TO_TRANSFORMING_GROWTH_FACTOR_BETA_STIMULUS</v>
      </c>
      <c r="C2674" s="4">
        <v>30</v>
      </c>
      <c r="D2674" s="3">
        <v>1.1848669000000001</v>
      </c>
      <c r="E2674" s="1">
        <v>0.22408026</v>
      </c>
      <c r="F2674" s="2">
        <v>0.31628823</v>
      </c>
    </row>
    <row r="2675" spans="1:6" x14ac:dyDescent="0.25">
      <c r="A2675" t="s">
        <v>6</v>
      </c>
      <c r="B2675" s="5" t="str">
        <f>HYPERLINK("http://www.broadinstitute.org/gsea/msigdb/cards/GOBP_ERYTHROCYTE_HOMEOSTASIS.html","GOBP_ERYTHROCYTE_HOMEOSTASIS")</f>
        <v>GOBP_ERYTHROCYTE_HOMEOSTASIS</v>
      </c>
      <c r="C2675" s="4">
        <v>159</v>
      </c>
      <c r="D2675" s="3">
        <v>1.1846341</v>
      </c>
      <c r="E2675" s="1">
        <v>0.12517782</v>
      </c>
      <c r="F2675" s="2">
        <v>0.31655693000000001</v>
      </c>
    </row>
    <row r="2676" spans="1:6" x14ac:dyDescent="0.25">
      <c r="A2676" t="s">
        <v>10</v>
      </c>
      <c r="B2676" s="5" t="str">
        <f>HYPERLINK("http://www.broadinstitute.org/gsea/msigdb/cards/REACTOME_ROLE_OF_LAT2_NTAL_LAB_ON_CALCIUM_MOBILIZATION.html","REACTOME_ROLE_OF_LAT2_NTAL_LAB_ON_CALCIUM_MOBILIZATION")</f>
        <v>REACTOME_ROLE_OF_LAT2_NTAL_LAB_ON_CALCIUM_MOBILIZATION</v>
      </c>
      <c r="C2676" s="4">
        <v>15</v>
      </c>
      <c r="D2676" s="3">
        <v>1.1843079999999999</v>
      </c>
      <c r="E2676" s="1">
        <v>0.24007220000000001</v>
      </c>
      <c r="F2676" s="2">
        <v>0.31702130000000001</v>
      </c>
    </row>
    <row r="2677" spans="1:6" x14ac:dyDescent="0.25">
      <c r="A2677" t="s">
        <v>6</v>
      </c>
      <c r="B2677" s="5" t="str">
        <f>HYPERLINK("http://www.broadinstitute.org/gsea/msigdb/cards/GOBP_POSITIVE_REGULATION_OF_RECEPTOR_RECYCLING.html","GOBP_POSITIVE_REGULATION_OF_RECEPTOR_RECYCLING")</f>
        <v>GOBP_POSITIVE_REGULATION_OF_RECEPTOR_RECYCLING</v>
      </c>
      <c r="C2677" s="4">
        <v>17</v>
      </c>
      <c r="D2677" s="3">
        <v>1.184232</v>
      </c>
      <c r="E2677" s="1">
        <v>0.23867595</v>
      </c>
      <c r="F2677" s="2">
        <v>0.31703999999999999</v>
      </c>
    </row>
    <row r="2678" spans="1:6" x14ac:dyDescent="0.25">
      <c r="A2678" t="s">
        <v>6</v>
      </c>
      <c r="B2678" s="5" t="str">
        <f>HYPERLINK("http://www.broadinstitute.org/gsea/msigdb/cards/GOBP_LONG_TERM_SYNAPTIC_DEPRESSION.html","GOBP_LONG_TERM_SYNAPTIC_DEPRESSION")</f>
        <v>GOBP_LONG_TERM_SYNAPTIC_DEPRESSION</v>
      </c>
      <c r="C2678" s="4">
        <v>39</v>
      </c>
      <c r="D2678" s="3">
        <v>1.1839408</v>
      </c>
      <c r="E2678" s="1">
        <v>0.1989882</v>
      </c>
      <c r="F2678" s="2">
        <v>0.31743633999999998</v>
      </c>
    </row>
    <row r="2679" spans="1:6" x14ac:dyDescent="0.25">
      <c r="A2679" t="s">
        <v>10</v>
      </c>
      <c r="B2679" s="5" t="str">
        <f>HYPERLINK("http://www.broadinstitute.org/gsea/msigdb/cards/REACTOME_DOWNREGULATION_OF_SMAD2_3_SMAD4_TRANSCRIPTIONAL_ACTIVITY.html","REACTOME_DOWNREGULATION_OF_SMAD2_3_SMAD4_TRANSCRIPTIONAL_ACTIVITY")</f>
        <v>REACTOME_DOWNREGULATION_OF_SMAD2_3_SMAD4_TRANSCRIPTIONAL_ACTIVITY</v>
      </c>
      <c r="C2679" s="4">
        <v>23</v>
      </c>
      <c r="D2679" s="3">
        <v>1.1839404</v>
      </c>
      <c r="E2679" s="1">
        <v>0.22125434999999999</v>
      </c>
      <c r="F2679" s="2">
        <v>0.31731894999999999</v>
      </c>
    </row>
    <row r="2680" spans="1:6" x14ac:dyDescent="0.25">
      <c r="A2680" t="s">
        <v>6</v>
      </c>
      <c r="B2680" s="5" t="str">
        <f>HYPERLINK("http://www.broadinstitute.org/gsea/msigdb/cards/GOBP_REGULATION_OF_MICROGLIAL_CELL_ACTIVATION.html","GOBP_REGULATION_OF_MICROGLIAL_CELL_ACTIVATION")</f>
        <v>GOBP_REGULATION_OF_MICROGLIAL_CELL_ACTIVATION</v>
      </c>
      <c r="C2680" s="4">
        <v>17</v>
      </c>
      <c r="D2680" s="3">
        <v>1.1835815999999999</v>
      </c>
      <c r="E2680" s="1">
        <v>0.24448217</v>
      </c>
      <c r="F2680" s="2">
        <v>0.31786194000000001</v>
      </c>
    </row>
    <row r="2681" spans="1:6" x14ac:dyDescent="0.25">
      <c r="A2681" t="s">
        <v>8</v>
      </c>
      <c r="B2681" s="5" t="str">
        <f>HYPERLINK("http://www.broadinstitute.org/gsea/msigdb/cards/GOMF_NAD_BINDING.html","GOMF_NAD_BINDING")</f>
        <v>GOMF_NAD_BINDING</v>
      </c>
      <c r="C2681" s="4">
        <v>64</v>
      </c>
      <c r="D2681" s="3">
        <v>1.1835667000000001</v>
      </c>
      <c r="E2681" s="1">
        <v>0.18506494000000001</v>
      </c>
      <c r="F2681" s="2">
        <v>0.31777074999999999</v>
      </c>
    </row>
    <row r="2682" spans="1:6" x14ac:dyDescent="0.25">
      <c r="A2682" t="s">
        <v>6</v>
      </c>
      <c r="B2682" s="5" t="str">
        <f>HYPERLINK("http://www.broadinstitute.org/gsea/msigdb/cards/GOBP_REGULATION_OF_CARBOHYDRATE_BIOSYNTHETIC_PROCESS.html","GOBP_REGULATION_OF_CARBOHYDRATE_BIOSYNTHETIC_PROCESS")</f>
        <v>GOBP_REGULATION_OF_CARBOHYDRATE_BIOSYNTHETIC_PROCESS</v>
      </c>
      <c r="C2682" s="4">
        <v>108</v>
      </c>
      <c r="D2682" s="3">
        <v>1.1832613999999999</v>
      </c>
      <c r="E2682" s="1">
        <v>0.15178572000000001</v>
      </c>
      <c r="F2682" s="2">
        <v>0.31816040000000001</v>
      </c>
    </row>
    <row r="2683" spans="1:6" x14ac:dyDescent="0.25">
      <c r="A2683" t="s">
        <v>6</v>
      </c>
      <c r="B2683" s="5" t="str">
        <f>HYPERLINK("http://www.broadinstitute.org/gsea/msigdb/cards/GOBP_REGULATION_OF_MIRNA_METABOLIC_PROCESS.html","GOBP_REGULATION_OF_MIRNA_METABOLIC_PROCESS")</f>
        <v>GOBP_REGULATION_OF_MIRNA_METABOLIC_PROCESS</v>
      </c>
      <c r="C2683" s="4">
        <v>83</v>
      </c>
      <c r="D2683" s="3">
        <v>1.1831927</v>
      </c>
      <c r="E2683" s="1">
        <v>0.16820988000000001</v>
      </c>
      <c r="F2683" s="2">
        <v>0.31816749999999999</v>
      </c>
    </row>
    <row r="2684" spans="1:6" x14ac:dyDescent="0.25">
      <c r="A2684" t="s">
        <v>10</v>
      </c>
      <c r="B2684" s="5" t="str">
        <f>HYPERLINK("http://www.broadinstitute.org/gsea/msigdb/cards/REACTOME_PKA_MEDIATED_PHOSPHORYLATION_OF_CREB.html","REACTOME_PKA_MEDIATED_PHOSPHORYLATION_OF_CREB")</f>
        <v>REACTOME_PKA_MEDIATED_PHOSPHORYLATION_OF_CREB</v>
      </c>
      <c r="C2684" s="4">
        <v>17</v>
      </c>
      <c r="D2684" s="3">
        <v>1.1831464</v>
      </c>
      <c r="E2684" s="1">
        <v>0.24573378000000001</v>
      </c>
      <c r="F2684" s="2">
        <v>0.31813330000000001</v>
      </c>
    </row>
    <row r="2685" spans="1:6" x14ac:dyDescent="0.25">
      <c r="A2685" t="s">
        <v>6</v>
      </c>
      <c r="B2685" s="5" t="str">
        <f>HYPERLINK("http://www.broadinstitute.org/gsea/msigdb/cards/GOBP_NEURON_PROJECTION_ORGANIZATION.html","GOBP_NEURON_PROJECTION_ORGANIZATION")</f>
        <v>GOBP_NEURON_PROJECTION_ORGANIZATION</v>
      </c>
      <c r="C2685" s="4">
        <v>115</v>
      </c>
      <c r="D2685" s="3">
        <v>1.1829951000000001</v>
      </c>
      <c r="E2685" s="1">
        <v>0.15279878999999999</v>
      </c>
      <c r="F2685" s="2">
        <v>0.31829077</v>
      </c>
    </row>
    <row r="2686" spans="1:6" x14ac:dyDescent="0.25">
      <c r="A2686" t="s">
        <v>6</v>
      </c>
      <c r="B2686" s="5" t="str">
        <f>HYPERLINK("http://www.broadinstitute.org/gsea/msigdb/cards/GOBP_REGULATION_OF_AUTOPHAGY_OF_MITOCHONDRION.html","GOBP_REGULATION_OF_AUTOPHAGY_OF_MITOCHONDRION")</f>
        <v>GOBP_REGULATION_OF_AUTOPHAGY_OF_MITOCHONDRION</v>
      </c>
      <c r="C2686" s="4">
        <v>31</v>
      </c>
      <c r="D2686" s="3">
        <v>1.182534</v>
      </c>
      <c r="E2686" s="1">
        <v>0.20336135</v>
      </c>
      <c r="F2686" s="2">
        <v>0.31898936999999999</v>
      </c>
    </row>
    <row r="2687" spans="1:6" x14ac:dyDescent="0.25">
      <c r="A2687" t="s">
        <v>6</v>
      </c>
      <c r="B2687" s="5" t="str">
        <f>HYPERLINK("http://www.broadinstitute.org/gsea/msigdb/cards/GOBP_NEGATIVE_REGULATION_OF_CELLULAR_RESPONSE_TO_HYPOXIA.html","GOBP_NEGATIVE_REGULATION_OF_CELLULAR_RESPONSE_TO_HYPOXIA")</f>
        <v>GOBP_NEGATIVE_REGULATION_OF_CELLULAR_RESPONSE_TO_HYPOXIA</v>
      </c>
      <c r="C2687" s="4">
        <v>18</v>
      </c>
      <c r="D2687" s="3">
        <v>1.1823182999999999</v>
      </c>
      <c r="E2687" s="1">
        <v>0.23104057</v>
      </c>
      <c r="F2687" s="2">
        <v>0.31923353999999998</v>
      </c>
    </row>
    <row r="2688" spans="1:6" x14ac:dyDescent="0.25">
      <c r="A2688" t="s">
        <v>6</v>
      </c>
      <c r="B2688" s="5" t="str">
        <f>HYPERLINK("http://www.broadinstitute.org/gsea/msigdb/cards/GOBP_FEMALE_SEX_DIFFERENTIATION.html","GOBP_FEMALE_SEX_DIFFERENTIATION")</f>
        <v>GOBP_FEMALE_SEX_DIFFERENTIATION</v>
      </c>
      <c r="C2688" s="4">
        <v>133</v>
      </c>
      <c r="D2688" s="3">
        <v>1.1822835</v>
      </c>
      <c r="E2688" s="1">
        <v>0.14469914</v>
      </c>
      <c r="F2688" s="2">
        <v>0.31917328</v>
      </c>
    </row>
    <row r="2689" spans="1:6" x14ac:dyDescent="0.25">
      <c r="A2689" t="s">
        <v>6</v>
      </c>
      <c r="B2689" s="5" t="str">
        <f>HYPERLINK("http://www.broadinstitute.org/gsea/msigdb/cards/GOBP_CELLULAR_RESPONSE_TO_OXYGEN_LEVELS.html","GOBP_CELLULAR_RESPONSE_TO_OXYGEN_LEVELS")</f>
        <v>GOBP_CELLULAR_RESPONSE_TO_OXYGEN_LEVELS</v>
      </c>
      <c r="C2689" s="4">
        <v>134</v>
      </c>
      <c r="D2689" s="3">
        <v>1.182264</v>
      </c>
      <c r="E2689" s="1">
        <v>0.13134329</v>
      </c>
      <c r="F2689" s="2">
        <v>0.31908821999999998</v>
      </c>
    </row>
    <row r="2690" spans="1:6" x14ac:dyDescent="0.25">
      <c r="A2690" t="s">
        <v>6</v>
      </c>
      <c r="B2690" s="5" t="str">
        <f>HYPERLINK("http://www.broadinstitute.org/gsea/msigdb/cards/GOBP_DEVELOPMENT_OF_PRIMARY_FEMALE_SEXUAL_CHARACTERISTICS.html","GOBP_DEVELOPMENT_OF_PRIMARY_FEMALE_SEXUAL_CHARACTERISTICS")</f>
        <v>GOBP_DEVELOPMENT_OF_PRIMARY_FEMALE_SEXUAL_CHARACTERISTICS</v>
      </c>
      <c r="C2690" s="4">
        <v>120</v>
      </c>
      <c r="D2690" s="3">
        <v>1.1816698000000001</v>
      </c>
      <c r="E2690" s="1">
        <v>0.15030674999999999</v>
      </c>
      <c r="F2690" s="2">
        <v>0.31998480000000001</v>
      </c>
    </row>
    <row r="2691" spans="1:6" x14ac:dyDescent="0.25">
      <c r="A2691" t="s">
        <v>8</v>
      </c>
      <c r="B2691" s="5" t="str">
        <f>HYPERLINK("http://www.broadinstitute.org/gsea/msigdb/cards/GOMF_NUCLEAR_THYROID_HORMONE_RECEPTOR_BINDING.html","GOMF_NUCLEAR_THYROID_HORMONE_RECEPTOR_BINDING")</f>
        <v>GOMF_NUCLEAR_THYROID_HORMONE_RECEPTOR_BINDING</v>
      </c>
      <c r="C2691" s="4">
        <v>29</v>
      </c>
      <c r="D2691" s="3">
        <v>1.1812999</v>
      </c>
      <c r="E2691" s="1">
        <v>0.22857142999999999</v>
      </c>
      <c r="F2691" s="2">
        <v>0.32052102999999998</v>
      </c>
    </row>
    <row r="2692" spans="1:6" x14ac:dyDescent="0.25">
      <c r="A2692" t="s">
        <v>6</v>
      </c>
      <c r="B2692" s="5" t="str">
        <f>HYPERLINK("http://www.broadinstitute.org/gsea/msigdb/cards/GOBP_POST_ANAL_TAIL_MORPHOGENESIS.html","GOBP_POST_ANAL_TAIL_MORPHOGENESIS")</f>
        <v>GOBP_POST_ANAL_TAIL_MORPHOGENESIS</v>
      </c>
      <c r="C2692" s="4">
        <v>25</v>
      </c>
      <c r="D2692" s="3">
        <v>1.1811345</v>
      </c>
      <c r="E2692" s="1">
        <v>0.22644628999999999</v>
      </c>
      <c r="F2692" s="2">
        <v>0.32066280000000003</v>
      </c>
    </row>
    <row r="2693" spans="1:6" x14ac:dyDescent="0.25">
      <c r="A2693" t="s">
        <v>6</v>
      </c>
      <c r="B2693" s="5" t="str">
        <f>HYPERLINK("http://www.broadinstitute.org/gsea/msigdb/cards/GOBP_SMALL_MOLECULE_CATABOLIC_PROCESS.html","GOBP_SMALL_MOLECULE_CATABOLIC_PROCESS")</f>
        <v>GOBP_SMALL_MOLECULE_CATABOLIC_PROCESS</v>
      </c>
      <c r="C2693" s="4">
        <v>339</v>
      </c>
      <c r="D2693" s="3">
        <v>1.1810852000000001</v>
      </c>
      <c r="E2693" s="1">
        <v>9.0322583999999997E-2</v>
      </c>
      <c r="F2693" s="2">
        <v>0.32063195</v>
      </c>
    </row>
    <row r="2694" spans="1:6" x14ac:dyDescent="0.25">
      <c r="A2694" t="s">
        <v>6</v>
      </c>
      <c r="B2694" s="5" t="str">
        <f>HYPERLINK("http://www.broadinstitute.org/gsea/msigdb/cards/GOBP_RENAL_SYSTEM_PROCESS_INVOLVED_IN_REGULATION_OF_SYSTEMIC_ARTERIAL_BLOOD_PRESSURE.html","GOBP_RENAL_SYSTEM_PROCESS_INVOLVED_IN_REGULATION_OF_SYSTEMIC_ARTERIAL_BLOOD_PRESSURE")</f>
        <v>GOBP_RENAL_SYSTEM_PROCESS_INVOLVED_IN_REGULATION_OF_SYSTEMIC_ARTERIAL_BLOOD_PRESSURE</v>
      </c>
      <c r="C2694" s="4">
        <v>26</v>
      </c>
      <c r="D2694" s="3">
        <v>1.1810734000000001</v>
      </c>
      <c r="E2694" s="1">
        <v>0.23458904</v>
      </c>
      <c r="F2694" s="2">
        <v>0.32052773000000001</v>
      </c>
    </row>
    <row r="2695" spans="1:6" x14ac:dyDescent="0.25">
      <c r="A2695" t="s">
        <v>7</v>
      </c>
      <c r="B2695" s="5" t="str">
        <f>HYPERLINK("http://www.broadinstitute.org/gsea/msigdb/cards/GOCC_SMOOTH_ENDOPLASMIC_RETICULUM.html","GOCC_SMOOTH_ENDOPLASMIC_RETICULUM")</f>
        <v>GOCC_SMOOTH_ENDOPLASMIC_RETICULUM</v>
      </c>
      <c r="C2695" s="4">
        <v>32</v>
      </c>
      <c r="D2695" s="3">
        <v>1.1803234</v>
      </c>
      <c r="E2695" s="1">
        <v>0.22920203</v>
      </c>
      <c r="F2695" s="2">
        <v>0.32171457999999997</v>
      </c>
    </row>
    <row r="2696" spans="1:6" x14ac:dyDescent="0.25">
      <c r="A2696" t="s">
        <v>6</v>
      </c>
      <c r="B2696" s="5" t="str">
        <f>HYPERLINK("http://www.broadinstitute.org/gsea/msigdb/cards/GOBP_NEGATIVE_REGULATION_OF_TYPE_I_INTERFERON_MEDIATED_SIGNALING_PATHWAY.html","GOBP_NEGATIVE_REGULATION_OF_TYPE_I_INTERFERON_MEDIATED_SIGNALING_PATHWAY")</f>
        <v>GOBP_NEGATIVE_REGULATION_OF_TYPE_I_INTERFERON_MEDIATED_SIGNALING_PATHWAY</v>
      </c>
      <c r="C2696" s="4">
        <v>25</v>
      </c>
      <c r="D2696" s="3">
        <v>1.1802442</v>
      </c>
      <c r="E2696" s="1">
        <v>0.23026315999999999</v>
      </c>
      <c r="F2696" s="2">
        <v>0.32172610000000001</v>
      </c>
    </row>
    <row r="2697" spans="1:6" x14ac:dyDescent="0.25">
      <c r="A2697" t="s">
        <v>8</v>
      </c>
      <c r="B2697" s="5" t="str">
        <f>HYPERLINK("http://www.broadinstitute.org/gsea/msigdb/cards/GOMF_RNA_EXONUCLEASE_ACTIVITY.html","GOMF_RNA_EXONUCLEASE_ACTIVITY")</f>
        <v>GOMF_RNA_EXONUCLEASE_ACTIVITY</v>
      </c>
      <c r="C2697" s="4">
        <v>34</v>
      </c>
      <c r="D2697" s="3">
        <v>1.1802433000000001</v>
      </c>
      <c r="E2697" s="1">
        <v>0.22260869999999999</v>
      </c>
      <c r="F2697" s="2">
        <v>0.32160870000000003</v>
      </c>
    </row>
    <row r="2698" spans="1:6" x14ac:dyDescent="0.25">
      <c r="A2698" t="s">
        <v>6</v>
      </c>
      <c r="B2698" s="5" t="str">
        <f>HYPERLINK("http://www.broadinstitute.org/gsea/msigdb/cards/GOBP_POSITIVE_T_CELL_SELECTION.html","GOBP_POSITIVE_T_CELL_SELECTION")</f>
        <v>GOBP_POSITIVE_T_CELL_SELECTION</v>
      </c>
      <c r="C2698" s="4">
        <v>41</v>
      </c>
      <c r="D2698" s="3">
        <v>1.1797276999999999</v>
      </c>
      <c r="E2698" s="1">
        <v>0.21652892000000001</v>
      </c>
      <c r="F2698" s="2">
        <v>0.32241263999999997</v>
      </c>
    </row>
    <row r="2699" spans="1:6" x14ac:dyDescent="0.25">
      <c r="A2699" t="s">
        <v>6</v>
      </c>
      <c r="B2699" s="5" t="str">
        <f>HYPERLINK("http://www.broadinstitute.org/gsea/msigdb/cards/GOBP_POSITIVE_REGULATION_OF_INSULIN_SECRETION_INVOLVED_IN_CELLULAR_RESPONSE_TO_GLUCOSE_STIMULUS.html","GOBP_POSITIVE_REGULATION_OF_INSULIN_SECRETION_INVOLVED_IN_CELLULAR_RESPONSE_TO_GLUCOSE_STIMULUS")</f>
        <v>GOBP_POSITIVE_REGULATION_OF_INSULIN_SECRETION_INVOLVED_IN_CELLULAR_RESPONSE_TO_GLUCOSE_STIMULUS</v>
      </c>
      <c r="C2699" s="4">
        <v>45</v>
      </c>
      <c r="D2699" s="3">
        <v>1.1795233000000001</v>
      </c>
      <c r="E2699" s="1">
        <v>0.2076412</v>
      </c>
      <c r="F2699" s="2">
        <v>0.32265913000000002</v>
      </c>
    </row>
    <row r="2700" spans="1:6" x14ac:dyDescent="0.25">
      <c r="A2700" t="s">
        <v>7</v>
      </c>
      <c r="B2700" s="5" t="str">
        <f>HYPERLINK("http://www.broadinstitute.org/gsea/msigdb/cards/GOCC_CHLORIDE_CHANNEL_COMPLEX.html","GOCC_CHLORIDE_CHANNEL_COMPLEX")</f>
        <v>GOCC_CHLORIDE_CHANNEL_COMPLEX</v>
      </c>
      <c r="C2700" s="4">
        <v>50</v>
      </c>
      <c r="D2700" s="3">
        <v>1.1794004</v>
      </c>
      <c r="E2700" s="1">
        <v>0.19327731000000001</v>
      </c>
      <c r="F2700" s="2">
        <v>0.32274170000000002</v>
      </c>
    </row>
    <row r="2701" spans="1:6" x14ac:dyDescent="0.25">
      <c r="A2701" t="s">
        <v>6</v>
      </c>
      <c r="B2701" s="5" t="str">
        <f>HYPERLINK("http://www.broadinstitute.org/gsea/msigdb/cards/GOBP_EPITHELIAL_CELL_CELL_ADHESION.html","GOBP_EPITHELIAL_CELL_CELL_ADHESION")</f>
        <v>GOBP_EPITHELIAL_CELL_CELL_ADHESION</v>
      </c>
      <c r="C2701" s="4">
        <v>16</v>
      </c>
      <c r="D2701" s="3">
        <v>1.1786892</v>
      </c>
      <c r="E2701" s="1">
        <v>0.26508227000000001</v>
      </c>
      <c r="F2701" s="2">
        <v>0.32384083000000002</v>
      </c>
    </row>
    <row r="2702" spans="1:6" x14ac:dyDescent="0.25">
      <c r="A2702" t="s">
        <v>8</v>
      </c>
      <c r="B2702" s="5" t="str">
        <f>HYPERLINK("http://www.broadinstitute.org/gsea/msigdb/cards/GOMF_STEROL_TRANSPORTER_ACTIVITY.html","GOMF_STEROL_TRANSPORTER_ACTIVITY")</f>
        <v>GOMF_STEROL_TRANSPORTER_ACTIVITY</v>
      </c>
      <c r="C2702" s="4">
        <v>33</v>
      </c>
      <c r="D2702" s="3">
        <v>1.1781931999999999</v>
      </c>
      <c r="E2702" s="1">
        <v>0.21291447999999999</v>
      </c>
      <c r="F2702" s="2">
        <v>0.32458599999999999</v>
      </c>
    </row>
    <row r="2703" spans="1:6" x14ac:dyDescent="0.25">
      <c r="A2703" t="s">
        <v>7</v>
      </c>
      <c r="B2703" s="5" t="str">
        <f>HYPERLINK("http://www.broadinstitute.org/gsea/msigdb/cards/GOCC_PHAGOPHORE_ASSEMBLY_SITE.html","GOCC_PHAGOPHORE_ASSEMBLY_SITE")</f>
        <v>GOCC_PHAGOPHORE_ASSEMBLY_SITE</v>
      </c>
      <c r="C2703" s="4">
        <v>36</v>
      </c>
      <c r="D2703" s="3">
        <v>1.1772583999999999</v>
      </c>
      <c r="E2703" s="1">
        <v>0.23076922999999999</v>
      </c>
      <c r="F2703" s="2">
        <v>0.32612106000000002</v>
      </c>
    </row>
    <row r="2704" spans="1:6" x14ac:dyDescent="0.25">
      <c r="A2704" t="s">
        <v>6</v>
      </c>
      <c r="B2704" s="5" t="str">
        <f>HYPERLINK("http://www.broadinstitute.org/gsea/msigdb/cards/GOBP_RESPIRATORY_SYSTEM_DEVELOPMENT.html","GOBP_RESPIRATORY_SYSTEM_DEVELOPMENT")</f>
        <v>GOBP_RESPIRATORY_SYSTEM_DEVELOPMENT</v>
      </c>
      <c r="C2704" s="4">
        <v>258</v>
      </c>
      <c r="D2704" s="3">
        <v>1.1771488999999999</v>
      </c>
      <c r="E2704" s="1">
        <v>9.7883600000000001E-2</v>
      </c>
      <c r="F2704" s="2">
        <v>0.32619110000000001</v>
      </c>
    </row>
    <row r="2705" spans="1:6" x14ac:dyDescent="0.25">
      <c r="A2705" t="s">
        <v>8</v>
      </c>
      <c r="B2705" s="5" t="str">
        <f>HYPERLINK("http://www.broadinstitute.org/gsea/msigdb/cards/GOMF_PHOSPHATASE_ACTIVITY.html","GOMF_PHOSPHATASE_ACTIVITY")</f>
        <v>GOMF_PHOSPHATASE_ACTIVITY</v>
      </c>
      <c r="C2705" s="4">
        <v>250</v>
      </c>
      <c r="D2705" s="3">
        <v>1.1771161999999999</v>
      </c>
      <c r="E2705" s="1">
        <v>0.10540184399999999</v>
      </c>
      <c r="F2705" s="2">
        <v>0.32613143</v>
      </c>
    </row>
    <row r="2706" spans="1:6" x14ac:dyDescent="0.25">
      <c r="A2706" t="s">
        <v>6</v>
      </c>
      <c r="B2706" s="5" t="str">
        <f>HYPERLINK("http://www.broadinstitute.org/gsea/msigdb/cards/GOBP_NEGATIVE_REGULATION_OF_EPITHELIAL_CELL_DIFFERENTIATION.html","GOBP_NEGATIVE_REGULATION_OF_EPITHELIAL_CELL_DIFFERENTIATION")</f>
        <v>GOBP_NEGATIVE_REGULATION_OF_EPITHELIAL_CELL_DIFFERENTIATION</v>
      </c>
      <c r="C2706" s="4">
        <v>56</v>
      </c>
      <c r="D2706" s="3">
        <v>1.1770434000000001</v>
      </c>
      <c r="E2706" s="1">
        <v>0.19968304000000001</v>
      </c>
      <c r="F2706" s="2">
        <v>0.32615857999999998</v>
      </c>
    </row>
    <row r="2707" spans="1:6" x14ac:dyDescent="0.25">
      <c r="A2707" t="s">
        <v>6</v>
      </c>
      <c r="B2707" s="5" t="str">
        <f>HYPERLINK("http://www.broadinstitute.org/gsea/msigdb/cards/GOBP_REGULATION_OF_CARBOHYDRATE_METABOLIC_PROCESS.html","GOBP_REGULATION_OF_CARBOHYDRATE_METABOLIC_PROCESS")</f>
        <v>GOBP_REGULATION_OF_CARBOHYDRATE_METABOLIC_PROCESS</v>
      </c>
      <c r="C2707" s="4">
        <v>199</v>
      </c>
      <c r="D2707" s="3">
        <v>1.1768109</v>
      </c>
      <c r="E2707" s="1">
        <v>0.10606061</v>
      </c>
      <c r="F2707" s="2">
        <v>0.32644139999999999</v>
      </c>
    </row>
    <row r="2708" spans="1:6" x14ac:dyDescent="0.25">
      <c r="A2708" t="s">
        <v>6</v>
      </c>
      <c r="B2708" s="5" t="str">
        <f>HYPERLINK("http://www.broadinstitute.org/gsea/msigdb/cards/GOBP_T_CELL_SELECTION.html","GOBP_T_CELL_SELECTION")</f>
        <v>GOBP_T_CELL_SELECTION</v>
      </c>
      <c r="C2708" s="4">
        <v>57</v>
      </c>
      <c r="D2708" s="3">
        <v>1.1758960000000001</v>
      </c>
      <c r="E2708" s="1">
        <v>0.20232172000000001</v>
      </c>
      <c r="F2708" s="2">
        <v>0.32795084000000002</v>
      </c>
    </row>
    <row r="2709" spans="1:6" x14ac:dyDescent="0.25">
      <c r="A2709" t="s">
        <v>6</v>
      </c>
      <c r="B2709" s="5" t="str">
        <f>HYPERLINK("http://www.broadinstitute.org/gsea/msigdb/cards/GOBP_POSITIVE_REGULATION_OF_NEURON_APOPTOTIC_PROCESS.html","GOBP_POSITIVE_REGULATION_OF_NEURON_APOPTOTIC_PROCESS")</f>
        <v>GOBP_POSITIVE_REGULATION_OF_NEURON_APOPTOTIC_PROCESS</v>
      </c>
      <c r="C2709" s="4">
        <v>93</v>
      </c>
      <c r="D2709" s="3">
        <v>1.1757743</v>
      </c>
      <c r="E2709" s="1">
        <v>0.17940718</v>
      </c>
      <c r="F2709" s="2">
        <v>0.32804601999999999</v>
      </c>
    </row>
    <row r="2710" spans="1:6" x14ac:dyDescent="0.25">
      <c r="A2710" t="s">
        <v>6</v>
      </c>
      <c r="B2710" s="5" t="str">
        <f>HYPERLINK("http://www.broadinstitute.org/gsea/msigdb/cards/GOBP_ANATOMICAL_STRUCTURE_MATURATION.html","GOBP_ANATOMICAL_STRUCTURE_MATURATION")</f>
        <v>GOBP_ANATOMICAL_STRUCTURE_MATURATION</v>
      </c>
      <c r="C2710" s="4">
        <v>292</v>
      </c>
      <c r="D2710" s="3">
        <v>1.1757238999999999</v>
      </c>
      <c r="E2710" s="1">
        <v>9.646739E-2</v>
      </c>
      <c r="F2710" s="2">
        <v>0.32801834000000002</v>
      </c>
    </row>
    <row r="2711" spans="1:6" x14ac:dyDescent="0.25">
      <c r="A2711" t="s">
        <v>6</v>
      </c>
      <c r="B2711" s="5" t="str">
        <f>HYPERLINK("http://www.broadinstitute.org/gsea/msigdb/cards/GOBP_MESENCHYMAL_CELL_MIGRATION.html","GOBP_MESENCHYMAL_CELL_MIGRATION")</f>
        <v>GOBP_MESENCHYMAL_CELL_MIGRATION</v>
      </c>
      <c r="C2711" s="4">
        <v>64</v>
      </c>
      <c r="D2711" s="3">
        <v>1.175718</v>
      </c>
      <c r="E2711" s="1">
        <v>0.18225806999999999</v>
      </c>
      <c r="F2711" s="2">
        <v>0.32790846000000001</v>
      </c>
    </row>
    <row r="2712" spans="1:6" x14ac:dyDescent="0.25">
      <c r="A2712" t="s">
        <v>6</v>
      </c>
      <c r="B2712" s="5" t="str">
        <f>HYPERLINK("http://www.broadinstitute.org/gsea/msigdb/cards/GOBP_REGULATION_OF_POST_TRANSLATIONAL_PROTEIN_MODIFICATION.html","GOBP_REGULATION_OF_POST_TRANSLATIONAL_PROTEIN_MODIFICATION")</f>
        <v>GOBP_REGULATION_OF_POST_TRANSLATIONAL_PROTEIN_MODIFICATION</v>
      </c>
      <c r="C2712" s="4">
        <v>287</v>
      </c>
      <c r="D2712" s="3">
        <v>1.1750545999999999</v>
      </c>
      <c r="E2712" s="1">
        <v>9.8360660000000003E-2</v>
      </c>
      <c r="F2712" s="2">
        <v>0.32894446999999999</v>
      </c>
    </row>
    <row r="2713" spans="1:6" x14ac:dyDescent="0.25">
      <c r="A2713" t="s">
        <v>8</v>
      </c>
      <c r="B2713" s="5" t="str">
        <f>HYPERLINK("http://www.broadinstitute.org/gsea/msigdb/cards/GOMF_LIPID_TRANSFER_ACTIVITY.html","GOMF_LIPID_TRANSFER_ACTIVITY")</f>
        <v>GOMF_LIPID_TRANSFER_ACTIVITY</v>
      </c>
      <c r="C2713" s="4">
        <v>50</v>
      </c>
      <c r="D2713" s="3">
        <v>1.1749807999999999</v>
      </c>
      <c r="E2713" s="1">
        <v>0.21818182</v>
      </c>
      <c r="F2713" s="2">
        <v>0.32895148000000002</v>
      </c>
    </row>
    <row r="2714" spans="1:6" x14ac:dyDescent="0.25">
      <c r="A2714" t="s">
        <v>8</v>
      </c>
      <c r="B2714" s="5" t="str">
        <f>HYPERLINK("http://www.broadinstitute.org/gsea/msigdb/cards/GOMF_AMINE_BINDING.html","GOMF_AMINE_BINDING")</f>
        <v>GOMF_AMINE_BINDING</v>
      </c>
      <c r="C2714" s="4">
        <v>17</v>
      </c>
      <c r="D2714" s="3">
        <v>1.1744654999999999</v>
      </c>
      <c r="E2714" s="1">
        <v>0.23842195999999999</v>
      </c>
      <c r="F2714" s="2">
        <v>0.32978737000000002</v>
      </c>
    </row>
    <row r="2715" spans="1:6" x14ac:dyDescent="0.25">
      <c r="A2715" t="s">
        <v>6</v>
      </c>
      <c r="B2715" s="5" t="str">
        <f>HYPERLINK("http://www.broadinstitute.org/gsea/msigdb/cards/GOBP_NEGATIVE_REGULATION_OF_T_CELL_APOPTOTIC_PROCESS.html","GOBP_NEGATIVE_REGULATION_OF_T_CELL_APOPTOTIC_PROCESS")</f>
        <v>GOBP_NEGATIVE_REGULATION_OF_T_CELL_APOPTOTIC_PROCESS</v>
      </c>
      <c r="C2715" s="4">
        <v>31</v>
      </c>
      <c r="D2715" s="3">
        <v>1.1741216000000001</v>
      </c>
      <c r="E2715" s="1">
        <v>0.2181208</v>
      </c>
      <c r="F2715" s="2">
        <v>0.33027518</v>
      </c>
    </row>
    <row r="2716" spans="1:6" x14ac:dyDescent="0.25">
      <c r="A2716" t="s">
        <v>6</v>
      </c>
      <c r="B2716" s="5" t="str">
        <f>HYPERLINK("http://www.broadinstitute.org/gsea/msigdb/cards/GOBP_REGULATION_OF_EXECUTION_PHASE_OF_APOPTOSIS.html","GOBP_REGULATION_OF_EXECUTION_PHASE_OF_APOPTOSIS")</f>
        <v>GOBP_REGULATION_OF_EXECUTION_PHASE_OF_APOPTOSIS</v>
      </c>
      <c r="C2716" s="4">
        <v>18</v>
      </c>
      <c r="D2716" s="3">
        <v>1.1741022000000001</v>
      </c>
      <c r="E2716" s="1">
        <v>0.25684931999999999</v>
      </c>
      <c r="F2716" s="2">
        <v>0.33019136999999998</v>
      </c>
    </row>
    <row r="2717" spans="1:6" x14ac:dyDescent="0.25">
      <c r="A2717" t="s">
        <v>6</v>
      </c>
      <c r="B2717" s="5" t="str">
        <f>HYPERLINK("http://www.broadinstitute.org/gsea/msigdb/cards/GOBP_NEGATIVE_REGULATION_OF_CELL_GROWTH.html","GOBP_NEGATIVE_REGULATION_OF_CELL_GROWTH")</f>
        <v>GOBP_NEGATIVE_REGULATION_OF_CELL_GROWTH</v>
      </c>
      <c r="C2717" s="4">
        <v>202</v>
      </c>
      <c r="D2717" s="3">
        <v>1.1740908999999999</v>
      </c>
      <c r="E2717" s="1">
        <v>0.13418078</v>
      </c>
      <c r="F2717" s="2">
        <v>0.33008855999999998</v>
      </c>
    </row>
    <row r="2718" spans="1:6" x14ac:dyDescent="0.25">
      <c r="A2718" t="s">
        <v>6</v>
      </c>
      <c r="B2718" s="5" t="str">
        <f>HYPERLINK("http://www.broadinstitute.org/gsea/msigdb/cards/GOBP_ENDOPLASMIC_RETICULUM_CALCIUM_ION_HOMEOSTASIS.html","GOBP_ENDOPLASMIC_RETICULUM_CALCIUM_ION_HOMEOSTASIS")</f>
        <v>GOBP_ENDOPLASMIC_RETICULUM_CALCIUM_ION_HOMEOSTASIS</v>
      </c>
      <c r="C2718" s="4">
        <v>28</v>
      </c>
      <c r="D2718" s="3">
        <v>1.1737137</v>
      </c>
      <c r="E2718" s="1">
        <v>0.23208190000000001</v>
      </c>
      <c r="F2718" s="2">
        <v>0.33065127999999999</v>
      </c>
    </row>
    <row r="2719" spans="1:6" x14ac:dyDescent="0.25">
      <c r="A2719" t="s">
        <v>6</v>
      </c>
      <c r="B2719" s="5" t="str">
        <f>HYPERLINK("http://www.broadinstitute.org/gsea/msigdb/cards/GOBP_POSITIVE_REGULATION_OF_FIBROBLAST_PROLIFERATION.html","GOBP_POSITIVE_REGULATION_OF_FIBROBLAST_PROLIFERATION")</f>
        <v>GOBP_POSITIVE_REGULATION_OF_FIBROBLAST_PROLIFERATION</v>
      </c>
      <c r="C2719" s="4">
        <v>77</v>
      </c>
      <c r="D2719" s="3">
        <v>1.1736541</v>
      </c>
      <c r="E2719" s="1">
        <v>0.17080745</v>
      </c>
      <c r="F2719" s="2">
        <v>0.33063090000000001</v>
      </c>
    </row>
    <row r="2720" spans="1:6" x14ac:dyDescent="0.25">
      <c r="A2720" t="s">
        <v>6</v>
      </c>
      <c r="B2720" s="5" t="str">
        <f>HYPERLINK("http://www.broadinstitute.org/gsea/msigdb/cards/GOBP_CELLULAR_PIGMENTATION.html","GOBP_CELLULAR_PIGMENTATION")</f>
        <v>GOBP_CELLULAR_PIGMENTATION</v>
      </c>
      <c r="C2720" s="4">
        <v>57</v>
      </c>
      <c r="D2720" s="3">
        <v>1.1731533000000001</v>
      </c>
      <c r="E2720" s="1">
        <v>0.18688525</v>
      </c>
      <c r="F2720" s="2">
        <v>0.33139210000000002</v>
      </c>
    </row>
    <row r="2721" spans="1:6" x14ac:dyDescent="0.25">
      <c r="A2721" t="s">
        <v>8</v>
      </c>
      <c r="B2721" s="5" t="str">
        <f>HYPERLINK("http://www.broadinstitute.org/gsea/msigdb/cards/GOMF_NUCLEOSIDE_DIPHOSPHATE_PHOSPHATASE_ACTIVITY.html","GOMF_NUCLEOSIDE_DIPHOSPHATE_PHOSPHATASE_ACTIVITY")</f>
        <v>GOMF_NUCLEOSIDE_DIPHOSPHATE_PHOSPHATASE_ACTIVITY</v>
      </c>
      <c r="C2721" s="4">
        <v>17</v>
      </c>
      <c r="D2721" s="3">
        <v>1.1730474</v>
      </c>
      <c r="E2721" s="1">
        <v>0.28342246999999998</v>
      </c>
      <c r="F2721" s="2">
        <v>0.33145841999999998</v>
      </c>
    </row>
    <row r="2722" spans="1:6" x14ac:dyDescent="0.25">
      <c r="A2722" t="s">
        <v>8</v>
      </c>
      <c r="B2722" s="5" t="str">
        <f>HYPERLINK("http://www.broadinstitute.org/gsea/msigdb/cards/GOMF_MAGNESIUM_ION_BINDING.html","GOMF_MAGNESIUM_ION_BINDING")</f>
        <v>GOMF_MAGNESIUM_ION_BINDING</v>
      </c>
      <c r="C2722" s="4">
        <v>208</v>
      </c>
      <c r="D2722" s="3">
        <v>1.1727590000000001</v>
      </c>
      <c r="E2722" s="1">
        <v>0.12792297</v>
      </c>
      <c r="F2722" s="2">
        <v>0.33184724999999998</v>
      </c>
    </row>
    <row r="2723" spans="1:6" x14ac:dyDescent="0.25">
      <c r="A2723" t="s">
        <v>6</v>
      </c>
      <c r="B2723" s="5" t="str">
        <f>HYPERLINK("http://www.broadinstitute.org/gsea/msigdb/cards/GOBP_POSITIVE_REGULATION_OF_ENDOTHELIAL_CELL_APOPTOTIC_PROCESS.html","GOBP_POSITIVE_REGULATION_OF_ENDOTHELIAL_CELL_APOPTOTIC_PROCESS")</f>
        <v>GOBP_POSITIVE_REGULATION_OF_ENDOTHELIAL_CELL_APOPTOTIC_PROCESS</v>
      </c>
      <c r="C2723" s="4">
        <v>25</v>
      </c>
      <c r="D2723" s="3">
        <v>1.1726285000000001</v>
      </c>
      <c r="E2723" s="1">
        <v>0.2322034</v>
      </c>
      <c r="F2723" s="2">
        <v>0.33196893</v>
      </c>
    </row>
    <row r="2724" spans="1:6" x14ac:dyDescent="0.25">
      <c r="A2724" t="s">
        <v>6</v>
      </c>
      <c r="B2724" s="5" t="str">
        <f>HYPERLINK("http://www.broadinstitute.org/gsea/msigdb/cards/GOBP_POSITIVE_REGULATION_OF_COLLAGEN_METABOLIC_PROCESS.html","GOBP_POSITIVE_REGULATION_OF_COLLAGEN_METABOLIC_PROCESS")</f>
        <v>GOBP_POSITIVE_REGULATION_OF_COLLAGEN_METABOLIC_PROCESS</v>
      </c>
      <c r="C2724" s="4">
        <v>40</v>
      </c>
      <c r="D2724" s="3">
        <v>1.1725322</v>
      </c>
      <c r="E2724" s="1">
        <v>0.21709402</v>
      </c>
      <c r="F2724" s="2">
        <v>0.33202100000000001</v>
      </c>
    </row>
    <row r="2725" spans="1:6" x14ac:dyDescent="0.25">
      <c r="A2725" t="s">
        <v>6</v>
      </c>
      <c r="B2725" s="5" t="str">
        <f>HYPERLINK("http://www.broadinstitute.org/gsea/msigdb/cards/GOBP_CELLULAR_RESPONSE_TO_MECHANICAL_STIMULUS.html","GOBP_CELLULAR_RESPONSE_TO_MECHANICAL_STIMULUS")</f>
        <v>GOBP_CELLULAR_RESPONSE_TO_MECHANICAL_STIMULUS</v>
      </c>
      <c r="C2725" s="4">
        <v>35</v>
      </c>
      <c r="D2725" s="3">
        <v>1.1723243000000001</v>
      </c>
      <c r="E2725" s="1">
        <v>0.26020408</v>
      </c>
      <c r="F2725" s="2">
        <v>0.33229205000000001</v>
      </c>
    </row>
    <row r="2726" spans="1:6" x14ac:dyDescent="0.25">
      <c r="A2726" t="s">
        <v>6</v>
      </c>
      <c r="B2726" s="5" t="str">
        <f>HYPERLINK("http://www.broadinstitute.org/gsea/msigdb/cards/GOBP_DETECTION_OF_TEMPERATURE_STIMULUS.html","GOBP_DETECTION_OF_TEMPERATURE_STIMULUS")</f>
        <v>GOBP_DETECTION_OF_TEMPERATURE_STIMULUS</v>
      </c>
      <c r="C2726" s="4">
        <v>30</v>
      </c>
      <c r="D2726" s="3">
        <v>1.1722835</v>
      </c>
      <c r="E2726" s="1">
        <v>0.22998295999999999</v>
      </c>
      <c r="F2726" s="2">
        <v>0.33224632999999998</v>
      </c>
    </row>
    <row r="2727" spans="1:6" x14ac:dyDescent="0.25">
      <c r="A2727" t="s">
        <v>6</v>
      </c>
      <c r="B2727" s="5" t="str">
        <f>HYPERLINK("http://www.broadinstitute.org/gsea/msigdb/cards/GOBP_RESPONSE_TO_KETONE.html","GOBP_RESPONSE_TO_KETONE")</f>
        <v>GOBP_RESPONSE_TO_KETONE</v>
      </c>
      <c r="C2727" s="4">
        <v>143</v>
      </c>
      <c r="D2727" s="3">
        <v>1.1721349000000001</v>
      </c>
      <c r="E2727" s="1">
        <v>0.15014163999999999</v>
      </c>
      <c r="F2727" s="2">
        <v>0.33240032000000003</v>
      </c>
    </row>
    <row r="2728" spans="1:6" x14ac:dyDescent="0.25">
      <c r="A2728" t="s">
        <v>6</v>
      </c>
      <c r="B2728" s="5" t="str">
        <f>HYPERLINK("http://www.broadinstitute.org/gsea/msigdb/cards/GOBP_HEART_MORPHOGENESIS.html","GOBP_HEART_MORPHOGENESIS")</f>
        <v>GOBP_HEART_MORPHOGENESIS</v>
      </c>
      <c r="C2728" s="4">
        <v>279</v>
      </c>
      <c r="D2728" s="3">
        <v>1.1720704</v>
      </c>
      <c r="E2728" s="1">
        <v>0.11051213</v>
      </c>
      <c r="F2728" s="2">
        <v>0.33238792</v>
      </c>
    </row>
    <row r="2729" spans="1:6" x14ac:dyDescent="0.25">
      <c r="A2729" t="s">
        <v>11</v>
      </c>
      <c r="B2729" s="5" t="str">
        <f>HYPERLINK("http://www.broadinstitute.org/gsea/msigdb/cards/WP_SEROTONIN_AND_ANXIETY.html","WP_SEROTONIN_AND_ANXIETY")</f>
        <v>WP_SEROTONIN_AND_ANXIETY</v>
      </c>
      <c r="C2729" s="4">
        <v>16</v>
      </c>
      <c r="D2729" s="3">
        <v>1.1720649999999999</v>
      </c>
      <c r="E2729" s="1">
        <v>0.26324787999999999</v>
      </c>
      <c r="F2729" s="2">
        <v>0.33227557000000002</v>
      </c>
    </row>
    <row r="2730" spans="1:6" x14ac:dyDescent="0.25">
      <c r="A2730" t="s">
        <v>6</v>
      </c>
      <c r="B2730" s="5" t="str">
        <f>HYPERLINK("http://www.broadinstitute.org/gsea/msigdb/cards/GOBP_INTESTINAL_ABSORPTION.html","GOBP_INTESTINAL_ABSORPTION")</f>
        <v>GOBP_INTESTINAL_ABSORPTION</v>
      </c>
      <c r="C2730" s="4">
        <v>42</v>
      </c>
      <c r="D2730" s="3">
        <v>1.1719317</v>
      </c>
      <c r="E2730" s="1">
        <v>0.20554649999999999</v>
      </c>
      <c r="F2730" s="2">
        <v>0.33237942999999998</v>
      </c>
    </row>
    <row r="2731" spans="1:6" x14ac:dyDescent="0.25">
      <c r="A2731" t="s">
        <v>6</v>
      </c>
      <c r="B2731" s="5" t="str">
        <f>HYPERLINK("http://www.broadinstitute.org/gsea/msigdb/cards/GOBP_RESPONSE_TO_NUTRIENT.html","GOBP_RESPONSE_TO_NUTRIENT")</f>
        <v>GOBP_RESPONSE_TO_NUTRIENT</v>
      </c>
      <c r="C2731" s="4">
        <v>78</v>
      </c>
      <c r="D2731" s="3">
        <v>1.1718151999999999</v>
      </c>
      <c r="E2731" s="1">
        <v>0.18720749</v>
      </c>
      <c r="F2731" s="2">
        <v>0.33247497999999998</v>
      </c>
    </row>
    <row r="2732" spans="1:6" x14ac:dyDescent="0.25">
      <c r="A2732" t="s">
        <v>10</v>
      </c>
      <c r="B2732" s="5" t="str">
        <f>HYPERLINK("http://www.broadinstitute.org/gsea/msigdb/cards/REACTOME_TNFR1_INDUCED_NF_KAPPA_B_SIGNALING_PATHWAY.html","REACTOME_TNFR1_INDUCED_NF_KAPPA_B_SIGNALING_PATHWAY")</f>
        <v>REACTOME_TNFR1_INDUCED_NF_KAPPA_B_SIGNALING_PATHWAY</v>
      </c>
      <c r="C2732" s="4">
        <v>33</v>
      </c>
      <c r="D2732" s="3">
        <v>1.1713562</v>
      </c>
      <c r="E2732" s="1">
        <v>0.23452769000000001</v>
      </c>
      <c r="F2732" s="2">
        <v>0.33314310000000003</v>
      </c>
    </row>
    <row r="2733" spans="1:6" x14ac:dyDescent="0.25">
      <c r="A2733" t="s">
        <v>6</v>
      </c>
      <c r="B2733" s="5" t="str">
        <f>HYPERLINK("http://www.broadinstitute.org/gsea/msigdb/cards/GOBP_REGULATION_OF_SYSTEMIC_ARTERIAL_BLOOD_PRESSURE.html","GOBP_REGULATION_OF_SYSTEMIC_ARTERIAL_BLOOD_PRESSURE")</f>
        <v>GOBP_REGULATION_OF_SYSTEMIC_ARTERIAL_BLOOD_PRESSURE</v>
      </c>
      <c r="C2733" s="4">
        <v>115</v>
      </c>
      <c r="D2733" s="3">
        <v>1.1709354000000001</v>
      </c>
      <c r="E2733" s="1">
        <v>0.15492958000000001</v>
      </c>
      <c r="F2733" s="2">
        <v>0.3337948</v>
      </c>
    </row>
    <row r="2734" spans="1:6" x14ac:dyDescent="0.25">
      <c r="A2734" t="s">
        <v>6</v>
      </c>
      <c r="B2734" s="5" t="str">
        <f>HYPERLINK("http://www.broadinstitute.org/gsea/msigdb/cards/GOBP_RECEPTOR_RECYCLING.html","GOBP_RECEPTOR_RECYCLING")</f>
        <v>GOBP_RECEPTOR_RECYCLING</v>
      </c>
      <c r="C2734" s="4">
        <v>53</v>
      </c>
      <c r="D2734" s="3">
        <v>1.1708584</v>
      </c>
      <c r="E2734" s="1">
        <v>0.20880914</v>
      </c>
      <c r="F2734" s="2">
        <v>0.33381077999999997</v>
      </c>
    </row>
    <row r="2735" spans="1:6" x14ac:dyDescent="0.25">
      <c r="A2735" t="s">
        <v>6</v>
      </c>
      <c r="B2735" s="5" t="str">
        <f>HYPERLINK("http://www.broadinstitute.org/gsea/msigdb/cards/GOBP_SEQUESTERING_OF_TRIGLYCERIDE.html","GOBP_SEQUESTERING_OF_TRIGLYCERIDE")</f>
        <v>GOBP_SEQUESTERING_OF_TRIGLYCERIDE</v>
      </c>
      <c r="C2735" s="4">
        <v>18</v>
      </c>
      <c r="D2735" s="3">
        <v>1.1707970000000001</v>
      </c>
      <c r="E2735" s="1">
        <v>0.24549918000000001</v>
      </c>
      <c r="F2735" s="2">
        <v>0.33380458000000002</v>
      </c>
    </row>
    <row r="2736" spans="1:6" x14ac:dyDescent="0.25">
      <c r="A2736" t="s">
        <v>6</v>
      </c>
      <c r="B2736" s="5" t="str">
        <f>HYPERLINK("http://www.broadinstitute.org/gsea/msigdb/cards/GOBP_CARDIAC_EPITHELIAL_TO_MESENCHYMAL_TRANSITION.html","GOBP_CARDIAC_EPITHELIAL_TO_MESENCHYMAL_TRANSITION")</f>
        <v>GOBP_CARDIAC_EPITHELIAL_TO_MESENCHYMAL_TRANSITION</v>
      </c>
      <c r="C2736" s="4">
        <v>36</v>
      </c>
      <c r="D2736" s="3">
        <v>1.1707647000000001</v>
      </c>
      <c r="E2736" s="1">
        <v>0.23114754000000001</v>
      </c>
      <c r="F2736" s="2">
        <v>0.3337292</v>
      </c>
    </row>
    <row r="2737" spans="1:6" x14ac:dyDescent="0.25">
      <c r="A2737" t="s">
        <v>6</v>
      </c>
      <c r="B2737" s="5" t="str">
        <f>HYPERLINK("http://www.broadinstitute.org/gsea/msigdb/cards/GOBP_PROTEIN_LOCALIZATION_TO_CELL_PERIPHERY.html","GOBP_PROTEIN_LOCALIZATION_TO_CELL_PERIPHERY")</f>
        <v>GOBP_PROTEIN_LOCALIZATION_TO_CELL_PERIPHERY</v>
      </c>
      <c r="C2737" s="4">
        <v>393</v>
      </c>
      <c r="D2737" s="3">
        <v>1.1704791999999999</v>
      </c>
      <c r="E2737" s="1">
        <v>0.1053316</v>
      </c>
      <c r="F2737" s="2">
        <v>0.33412104999999998</v>
      </c>
    </row>
    <row r="2738" spans="1:6" x14ac:dyDescent="0.25">
      <c r="A2738" t="s">
        <v>6</v>
      </c>
      <c r="B2738" s="5" t="str">
        <f>HYPERLINK("http://www.broadinstitute.org/gsea/msigdb/cards/GOBP_CELL_DIFFERENTIATION_INVOLVED_IN_METANEPHROS_DEVELOPMENT.html","GOBP_CELL_DIFFERENTIATION_INVOLVED_IN_METANEPHROS_DEVELOPMENT")</f>
        <v>GOBP_CELL_DIFFERENTIATION_INVOLVED_IN_METANEPHROS_DEVELOPMENT</v>
      </c>
      <c r="C2738" s="4">
        <v>22</v>
      </c>
      <c r="D2738" s="3">
        <v>1.1701106999999999</v>
      </c>
      <c r="E2738" s="1">
        <v>0.26537216000000002</v>
      </c>
      <c r="F2738" s="2">
        <v>0.33463424000000003</v>
      </c>
    </row>
    <row r="2739" spans="1:6" x14ac:dyDescent="0.25">
      <c r="A2739" t="s">
        <v>6</v>
      </c>
      <c r="B2739" s="5" t="str">
        <f>HYPERLINK("http://www.broadinstitute.org/gsea/msigdb/cards/GOBP_INSULIN_RECEPTOR_SIGNALING_PATHWAY.html","GOBP_INSULIN_RECEPTOR_SIGNALING_PATHWAY")</f>
        <v>GOBP_INSULIN_RECEPTOR_SIGNALING_PATHWAY</v>
      </c>
      <c r="C2739" s="4">
        <v>133</v>
      </c>
      <c r="D2739" s="3">
        <v>1.1700941</v>
      </c>
      <c r="E2739" s="1">
        <v>0.15671642</v>
      </c>
      <c r="F2739" s="2">
        <v>0.33454302000000002</v>
      </c>
    </row>
    <row r="2740" spans="1:6" x14ac:dyDescent="0.25">
      <c r="A2740" t="s">
        <v>6</v>
      </c>
      <c r="B2740" s="5" t="str">
        <f>HYPERLINK("http://www.broadinstitute.org/gsea/msigdb/cards/GOBP_PLACENTA_DEVELOPMENT.html","GOBP_PLACENTA_DEVELOPMENT")</f>
        <v>GOBP_PLACENTA_DEVELOPMENT</v>
      </c>
      <c r="C2740" s="4">
        <v>173</v>
      </c>
      <c r="D2740" s="3">
        <v>1.1700389</v>
      </c>
      <c r="E2740" s="1">
        <v>0.13656388</v>
      </c>
      <c r="F2740" s="2">
        <v>0.33452140000000002</v>
      </c>
    </row>
    <row r="2741" spans="1:6" x14ac:dyDescent="0.25">
      <c r="A2741" t="s">
        <v>6</v>
      </c>
      <c r="B2741" s="5" t="str">
        <f>HYPERLINK("http://www.broadinstitute.org/gsea/msigdb/cards/GOBP_REGULATION_OF_AUTOPHAGOSOME_MATURATION.html","GOBP_REGULATION_OF_AUTOPHAGOSOME_MATURATION")</f>
        <v>GOBP_REGULATION_OF_AUTOPHAGOSOME_MATURATION</v>
      </c>
      <c r="C2741" s="4">
        <v>17</v>
      </c>
      <c r="D2741" s="3">
        <v>1.169999</v>
      </c>
      <c r="E2741" s="1">
        <v>0.26324504999999998</v>
      </c>
      <c r="F2741" s="2">
        <v>0.33447418000000001</v>
      </c>
    </row>
    <row r="2742" spans="1:6" x14ac:dyDescent="0.25">
      <c r="A2742" t="s">
        <v>10</v>
      </c>
      <c r="B2742" s="5" t="str">
        <f>HYPERLINK("http://www.broadinstitute.org/gsea/msigdb/cards/REACTOME_SMAD2_SMAD3_SMAD4_HETEROTRIMER_REGULATES_TRANSCRIPTION.html","REACTOME_SMAD2_SMAD3_SMAD4_HETEROTRIMER_REGULATES_TRANSCRIPTION")</f>
        <v>REACTOME_SMAD2_SMAD3_SMAD4_HETEROTRIMER_REGULATES_TRANSCRIPTION</v>
      </c>
      <c r="C2742" s="4">
        <v>25</v>
      </c>
      <c r="D2742" s="3">
        <v>1.1694933000000001</v>
      </c>
      <c r="E2742" s="1">
        <v>0.24875621000000001</v>
      </c>
      <c r="F2742" s="2">
        <v>0.33527696000000001</v>
      </c>
    </row>
    <row r="2743" spans="1:6" x14ac:dyDescent="0.25">
      <c r="A2743" t="s">
        <v>8</v>
      </c>
      <c r="B2743" s="5" t="str">
        <f>HYPERLINK("http://www.broadinstitute.org/gsea/msigdb/cards/GOMF_DISULFIDE_OXIDOREDUCTASE_ACTIVITY.html","GOMF_DISULFIDE_OXIDOREDUCTASE_ACTIVITY")</f>
        <v>GOMF_DISULFIDE_OXIDOREDUCTASE_ACTIVITY</v>
      </c>
      <c r="C2743" s="4">
        <v>33</v>
      </c>
      <c r="D2743" s="3">
        <v>1.1693709999999999</v>
      </c>
      <c r="E2743" s="1">
        <v>0.22375216000000001</v>
      </c>
      <c r="F2743" s="2">
        <v>0.33536686999999998</v>
      </c>
    </row>
    <row r="2744" spans="1:6" x14ac:dyDescent="0.25">
      <c r="A2744" t="s">
        <v>11</v>
      </c>
      <c r="B2744" s="5" t="str">
        <f>HYPERLINK("http://www.broadinstitute.org/gsea/msigdb/cards/WP_OXIDATION_BY_CYTOCHROME_P450.html","WP_OXIDATION_BY_CYTOCHROME_P450")</f>
        <v>WP_OXIDATION_BY_CYTOCHROME_P450</v>
      </c>
      <c r="C2744" s="4">
        <v>38</v>
      </c>
      <c r="D2744" s="3">
        <v>1.1691974000000001</v>
      </c>
      <c r="E2744" s="1">
        <v>0.2353896</v>
      </c>
      <c r="F2744" s="2">
        <v>0.33556249999999999</v>
      </c>
    </row>
    <row r="2745" spans="1:6" x14ac:dyDescent="0.25">
      <c r="A2745" t="s">
        <v>8</v>
      </c>
      <c r="B2745" s="5" t="str">
        <f>HYPERLINK("http://www.broadinstitute.org/gsea/msigdb/cards/GOMF_PROTEIN_MEMBRANE_ADAPTOR_ACTIVITY.html","GOMF_PROTEIN_MEMBRANE_ADAPTOR_ACTIVITY")</f>
        <v>GOMF_PROTEIN_MEMBRANE_ADAPTOR_ACTIVITY</v>
      </c>
      <c r="C2745" s="4">
        <v>34</v>
      </c>
      <c r="D2745" s="3">
        <v>1.1691217</v>
      </c>
      <c r="E2745" s="1">
        <v>0.20751633999999999</v>
      </c>
      <c r="F2745" s="2">
        <v>0.33557071999999999</v>
      </c>
    </row>
    <row r="2746" spans="1:6" x14ac:dyDescent="0.25">
      <c r="A2746" t="s">
        <v>6</v>
      </c>
      <c r="B2746" s="5" t="str">
        <f>HYPERLINK("http://www.broadinstitute.org/gsea/msigdb/cards/GOBP_NEGATIVE_REGULATION_OF_LIPASE_ACTIVITY.html","GOBP_NEGATIVE_REGULATION_OF_LIPASE_ACTIVITY")</f>
        <v>GOBP_NEGATIVE_REGULATION_OF_LIPASE_ACTIVITY</v>
      </c>
      <c r="C2746" s="4">
        <v>18</v>
      </c>
      <c r="D2746" s="3">
        <v>1.1690179999999999</v>
      </c>
      <c r="E2746" s="1">
        <v>0.25974026</v>
      </c>
      <c r="F2746" s="2">
        <v>0.33563842999999999</v>
      </c>
    </row>
    <row r="2747" spans="1:6" x14ac:dyDescent="0.25">
      <c r="A2747" t="s">
        <v>8</v>
      </c>
      <c r="B2747" s="5" t="str">
        <f>HYPERLINK("http://www.broadinstitute.org/gsea/msigdb/cards/GOMF_MICROFILAMENT_MOTOR_ACTIVITY.html","GOMF_MICROFILAMENT_MOTOR_ACTIVITY")</f>
        <v>GOMF_MICROFILAMENT_MOTOR_ACTIVITY</v>
      </c>
      <c r="C2747" s="4">
        <v>37</v>
      </c>
      <c r="D2747" s="3">
        <v>1.1689407000000001</v>
      </c>
      <c r="E2747" s="1">
        <v>0.22056384000000001</v>
      </c>
      <c r="F2747" s="2">
        <v>0.33565739999999999</v>
      </c>
    </row>
    <row r="2748" spans="1:6" x14ac:dyDescent="0.25">
      <c r="A2748" t="s">
        <v>6</v>
      </c>
      <c r="B2748" s="5" t="str">
        <f>HYPERLINK("http://www.broadinstitute.org/gsea/msigdb/cards/GOBP_REGULATION_OF_CELL_GROWTH.html","GOBP_REGULATION_OF_CELL_GROWTH")</f>
        <v>GOBP_REGULATION_OF_CELL_GROWTH</v>
      </c>
      <c r="C2748" s="4">
        <v>440</v>
      </c>
      <c r="D2748" s="3">
        <v>1.1687584</v>
      </c>
      <c r="E2748" s="1">
        <v>8.5750309999999996E-2</v>
      </c>
      <c r="F2748" s="2">
        <v>0.3358507</v>
      </c>
    </row>
    <row r="2749" spans="1:6" x14ac:dyDescent="0.25">
      <c r="A2749" t="s">
        <v>6</v>
      </c>
      <c r="B2749" s="5" t="str">
        <f>HYPERLINK("http://www.broadinstitute.org/gsea/msigdb/cards/GOBP_AMYLOID_FIBRIL_FORMATION.html","GOBP_AMYLOID_FIBRIL_FORMATION")</f>
        <v>GOBP_AMYLOID_FIBRIL_FORMATION</v>
      </c>
      <c r="C2749" s="4">
        <v>29</v>
      </c>
      <c r="D2749" s="3">
        <v>1.1686988</v>
      </c>
      <c r="E2749" s="1">
        <v>0.24324324999999999</v>
      </c>
      <c r="F2749" s="2">
        <v>0.33584767999999998</v>
      </c>
    </row>
    <row r="2750" spans="1:6" x14ac:dyDescent="0.25">
      <c r="A2750" t="s">
        <v>6</v>
      </c>
      <c r="B2750" s="5" t="str">
        <f>HYPERLINK("http://www.broadinstitute.org/gsea/msigdb/cards/GOBP_REGULATION_OF_STEROID_HORMONE_BIOSYNTHETIC_PROCESS.html","GOBP_REGULATION_OF_STEROID_HORMONE_BIOSYNTHETIC_PROCESS")</f>
        <v>GOBP_REGULATION_OF_STEROID_HORMONE_BIOSYNTHETIC_PROCESS</v>
      </c>
      <c r="C2750" s="4">
        <v>20</v>
      </c>
      <c r="D2750" s="3">
        <v>1.1683064000000001</v>
      </c>
      <c r="E2750" s="1">
        <v>0.23801369999999999</v>
      </c>
      <c r="F2750" s="2">
        <v>0.33641836000000003</v>
      </c>
    </row>
    <row r="2751" spans="1:6" x14ac:dyDescent="0.25">
      <c r="A2751" t="s">
        <v>8</v>
      </c>
      <c r="B2751" s="5" t="str">
        <f>HYPERLINK("http://www.broadinstitute.org/gsea/msigdb/cards/GOMF_TRANSMEMBRANE_TRANSPORTER_BINDING.html","GOMF_TRANSMEMBRANE_TRANSPORTER_BINDING")</f>
        <v>GOMF_TRANSMEMBRANE_TRANSPORTER_BINDING</v>
      </c>
      <c r="C2751" s="4">
        <v>164</v>
      </c>
      <c r="D2751" s="3">
        <v>1.1682972</v>
      </c>
      <c r="E2751" s="1">
        <v>0.13953488999999999</v>
      </c>
      <c r="F2751" s="2">
        <v>0.33630886999999998</v>
      </c>
    </row>
    <row r="2752" spans="1:6" x14ac:dyDescent="0.25">
      <c r="A2752" t="s">
        <v>6</v>
      </c>
      <c r="B2752" s="5" t="str">
        <f>HYPERLINK("http://www.broadinstitute.org/gsea/msigdb/cards/GOBP_POSITIVE_REGULATION_OF_CALCIUM_ION_TRANSPORT_INTO_CYTOSOL.html","GOBP_POSITIVE_REGULATION_OF_CALCIUM_ION_TRANSPORT_INTO_CYTOSOL")</f>
        <v>GOBP_POSITIVE_REGULATION_OF_CALCIUM_ION_TRANSPORT_INTO_CYTOSOL</v>
      </c>
      <c r="C2752" s="4">
        <v>16</v>
      </c>
      <c r="D2752" s="3">
        <v>1.1678487</v>
      </c>
      <c r="E2752" s="1">
        <v>0.24070796</v>
      </c>
      <c r="F2752" s="2">
        <v>0.33700877000000001</v>
      </c>
    </row>
    <row r="2753" spans="1:6" x14ac:dyDescent="0.25">
      <c r="A2753" t="s">
        <v>6</v>
      </c>
      <c r="B2753" s="5" t="str">
        <f>HYPERLINK("http://www.broadinstitute.org/gsea/msigdb/cards/GOBP_ACIDIC_AMINO_ACID_TRANSPORT.html","GOBP_ACIDIC_AMINO_ACID_TRANSPORT")</f>
        <v>GOBP_ACIDIC_AMINO_ACID_TRANSPORT</v>
      </c>
      <c r="C2753" s="4">
        <v>73</v>
      </c>
      <c r="D2753" s="3">
        <v>1.1672429</v>
      </c>
      <c r="E2753" s="1">
        <v>0.19937694</v>
      </c>
      <c r="F2753" s="2">
        <v>0.33794089999999999</v>
      </c>
    </row>
    <row r="2754" spans="1:6" x14ac:dyDescent="0.25">
      <c r="A2754" t="s">
        <v>8</v>
      </c>
      <c r="B2754" s="5" t="str">
        <f>HYPERLINK("http://www.broadinstitute.org/gsea/msigdb/cards/GOMF_SULFOTRANSFERASE_ACTIVITY.html","GOMF_SULFOTRANSFERASE_ACTIVITY")</f>
        <v>GOMF_SULFOTRANSFERASE_ACTIVITY</v>
      </c>
      <c r="C2754" s="4">
        <v>49</v>
      </c>
      <c r="D2754" s="3">
        <v>1.1672239</v>
      </c>
      <c r="E2754" s="1">
        <v>0.2247191</v>
      </c>
      <c r="F2754" s="2">
        <v>0.33785197</v>
      </c>
    </row>
    <row r="2755" spans="1:6" x14ac:dyDescent="0.25">
      <c r="A2755" t="s">
        <v>6</v>
      </c>
      <c r="B2755" s="5" t="str">
        <f>HYPERLINK("http://www.broadinstitute.org/gsea/msigdb/cards/GOBP_REGULATION_OF_ACTOMYOSIN_STRUCTURE_ORGANIZATION.html","GOBP_REGULATION_OF_ACTOMYOSIN_STRUCTURE_ORGANIZATION")</f>
        <v>GOBP_REGULATION_OF_ACTOMYOSIN_STRUCTURE_ORGANIZATION</v>
      </c>
      <c r="C2755" s="4">
        <v>112</v>
      </c>
      <c r="D2755" s="3">
        <v>1.1670505</v>
      </c>
      <c r="E2755" s="1">
        <v>0.19161676999999999</v>
      </c>
      <c r="F2755" s="2">
        <v>0.33806997999999999</v>
      </c>
    </row>
    <row r="2756" spans="1:6" x14ac:dyDescent="0.25">
      <c r="A2756" t="s">
        <v>6</v>
      </c>
      <c r="B2756" s="5" t="str">
        <f>HYPERLINK("http://www.broadinstitute.org/gsea/msigdb/cards/GOBP_RESPONSE_TO_CAMP.html","GOBP_RESPONSE_TO_CAMP")</f>
        <v>GOBP_RESPONSE_TO_CAMP</v>
      </c>
      <c r="C2756" s="4">
        <v>58</v>
      </c>
      <c r="D2756" s="3">
        <v>1.16692</v>
      </c>
      <c r="E2756" s="1">
        <v>0.21337579000000001</v>
      </c>
      <c r="F2756" s="2">
        <v>0.33818024000000002</v>
      </c>
    </row>
    <row r="2757" spans="1:6" x14ac:dyDescent="0.25">
      <c r="A2757" t="s">
        <v>6</v>
      </c>
      <c r="B2757" s="5" t="str">
        <f>HYPERLINK("http://www.broadinstitute.org/gsea/msigdb/cards/GOBP_CAMERA_TYPE_EYE_MORPHOGENESIS.html","GOBP_CAMERA_TYPE_EYE_MORPHOGENESIS")</f>
        <v>GOBP_CAMERA_TYPE_EYE_MORPHOGENESIS</v>
      </c>
      <c r="C2757" s="4">
        <v>145</v>
      </c>
      <c r="D2757" s="3">
        <v>1.1668172999999999</v>
      </c>
      <c r="E2757" s="1">
        <v>0.16282421</v>
      </c>
      <c r="F2757" s="2">
        <v>0.33823553000000001</v>
      </c>
    </row>
    <row r="2758" spans="1:6" x14ac:dyDescent="0.25">
      <c r="A2758" t="s">
        <v>8</v>
      </c>
      <c r="B2758" s="5" t="str">
        <f>HYPERLINK("http://www.broadinstitute.org/gsea/msigdb/cards/GOMF_NUCLEOBASE_CONTAINING_COMPOUND_KINASE_ACTIVITY.html","GOMF_NUCLEOBASE_CONTAINING_COMPOUND_KINASE_ACTIVITY")</f>
        <v>GOMF_NUCLEOBASE_CONTAINING_COMPOUND_KINASE_ACTIVITY</v>
      </c>
      <c r="C2758" s="4">
        <v>36</v>
      </c>
      <c r="D2758" s="3">
        <v>1.1664000000000001</v>
      </c>
      <c r="E2758" s="1">
        <v>0.23760684000000001</v>
      </c>
      <c r="F2758" s="2">
        <v>0.33886372999999997</v>
      </c>
    </row>
    <row r="2759" spans="1:6" x14ac:dyDescent="0.25">
      <c r="A2759" t="s">
        <v>6</v>
      </c>
      <c r="B2759" s="5" t="str">
        <f>HYPERLINK("http://www.broadinstitute.org/gsea/msigdb/cards/GOBP_PYRIMIDINE_NUCLEOTIDE_BIOSYNTHETIC_PROCESS.html","GOBP_PYRIMIDINE_NUCLEOTIDE_BIOSYNTHETIC_PROCESS")</f>
        <v>GOBP_PYRIMIDINE_NUCLEOTIDE_BIOSYNTHETIC_PROCESS</v>
      </c>
      <c r="C2759" s="4">
        <v>25</v>
      </c>
      <c r="D2759" s="3">
        <v>1.1662649</v>
      </c>
      <c r="E2759" s="1">
        <v>0.26863086000000003</v>
      </c>
      <c r="F2759" s="2">
        <v>0.33897758</v>
      </c>
    </row>
    <row r="2760" spans="1:6" x14ac:dyDescent="0.25">
      <c r="A2760" t="s">
        <v>6</v>
      </c>
      <c r="B2760" s="5" t="str">
        <f>HYPERLINK("http://www.broadinstitute.org/gsea/msigdb/cards/GOBP_PYRIMIDINE_DEOXYRIBONUCLEOTIDE_METABOLIC_PROCESS.html","GOBP_PYRIMIDINE_DEOXYRIBONUCLEOTIDE_METABOLIC_PROCESS")</f>
        <v>GOBP_PYRIMIDINE_DEOXYRIBONUCLEOTIDE_METABOLIC_PROCESS</v>
      </c>
      <c r="C2760" s="4">
        <v>21</v>
      </c>
      <c r="D2760" s="3">
        <v>1.1661615000000001</v>
      </c>
      <c r="E2760" s="1">
        <v>0.23372287</v>
      </c>
      <c r="F2760" s="2">
        <v>0.33905277</v>
      </c>
    </row>
    <row r="2761" spans="1:6" x14ac:dyDescent="0.25">
      <c r="A2761" t="s">
        <v>10</v>
      </c>
      <c r="B2761" s="5" t="str">
        <f>HYPERLINK("http://www.broadinstitute.org/gsea/msigdb/cards/REACTOME_RAB_GERANYLGERANYLATION.html","REACTOME_RAB_GERANYLGERANYLATION")</f>
        <v>REACTOME_RAB_GERANYLGERANYLATION</v>
      </c>
      <c r="C2761" s="4">
        <v>61</v>
      </c>
      <c r="D2761" s="3">
        <v>1.1661136000000001</v>
      </c>
      <c r="E2761" s="1">
        <v>0.20062208000000001</v>
      </c>
      <c r="F2761" s="2">
        <v>0.3390203</v>
      </c>
    </row>
    <row r="2762" spans="1:6" x14ac:dyDescent="0.25">
      <c r="A2762" t="s">
        <v>8</v>
      </c>
      <c r="B2762" s="5" t="str">
        <f>HYPERLINK("http://www.broadinstitute.org/gsea/msigdb/cards/GOMF_RNA_POLYMERASE_II_CORE_PROMOTER_SEQUENCE_SPECIFIC_DNA_BINDING.html","GOMF_RNA_POLYMERASE_II_CORE_PROMOTER_SEQUENCE_SPECIFIC_DNA_BINDING")</f>
        <v>GOMF_RNA_POLYMERASE_II_CORE_PROMOTER_SEQUENCE_SPECIFIC_DNA_BINDING</v>
      </c>
      <c r="C2762" s="4">
        <v>22</v>
      </c>
      <c r="D2762" s="3">
        <v>1.1654955</v>
      </c>
      <c r="E2762" s="1">
        <v>0.23850084999999999</v>
      </c>
      <c r="F2762" s="2">
        <v>0.34000623000000002</v>
      </c>
    </row>
    <row r="2763" spans="1:6" x14ac:dyDescent="0.25">
      <c r="A2763" t="s">
        <v>6</v>
      </c>
      <c r="B2763" s="5" t="str">
        <f>HYPERLINK("http://www.broadinstitute.org/gsea/msigdb/cards/GOBP_BROWN_FAT_CELL_DIFFERENTIATION.html","GOBP_BROWN_FAT_CELL_DIFFERENTIATION")</f>
        <v>GOBP_BROWN_FAT_CELL_DIFFERENTIATION</v>
      </c>
      <c r="C2763" s="4">
        <v>63</v>
      </c>
      <c r="D2763" s="3">
        <v>1.1652856</v>
      </c>
      <c r="E2763" s="1">
        <v>0.20094192</v>
      </c>
      <c r="F2763" s="2">
        <v>0.34025663</v>
      </c>
    </row>
    <row r="2764" spans="1:6" x14ac:dyDescent="0.25">
      <c r="A2764" t="s">
        <v>6</v>
      </c>
      <c r="B2764" s="5" t="str">
        <f>HYPERLINK("http://www.broadinstitute.org/gsea/msigdb/cards/GOBP_PERICARDIUM_DEVELOPMENT.html","GOBP_PERICARDIUM_DEVELOPMENT")</f>
        <v>GOBP_PERICARDIUM_DEVELOPMENT</v>
      </c>
      <c r="C2764" s="4">
        <v>25</v>
      </c>
      <c r="D2764" s="3">
        <v>1.1651416000000001</v>
      </c>
      <c r="E2764" s="1">
        <v>0.24143835999999999</v>
      </c>
      <c r="F2764" s="2">
        <v>0.3403948</v>
      </c>
    </row>
    <row r="2765" spans="1:6" x14ac:dyDescent="0.25">
      <c r="A2765" t="s">
        <v>6</v>
      </c>
      <c r="B2765" s="5" t="str">
        <f>HYPERLINK("http://www.broadinstitute.org/gsea/msigdb/cards/GOBP_POSITIVE_REGULATION_OF_FATTY_ACID_OXIDATION.html","GOBP_POSITIVE_REGULATION_OF_FATTY_ACID_OXIDATION")</f>
        <v>GOBP_POSITIVE_REGULATION_OF_FATTY_ACID_OXIDATION</v>
      </c>
      <c r="C2765" s="4">
        <v>21</v>
      </c>
      <c r="D2765" s="3">
        <v>1.1650119000000001</v>
      </c>
      <c r="E2765" s="1">
        <v>0.24827585999999999</v>
      </c>
      <c r="F2765" s="2">
        <v>0.34048715000000002</v>
      </c>
    </row>
    <row r="2766" spans="1:6" x14ac:dyDescent="0.25">
      <c r="A2766" t="s">
        <v>6</v>
      </c>
      <c r="B2766" s="5" t="str">
        <f>HYPERLINK("http://www.broadinstitute.org/gsea/msigdb/cards/GOBP_NEGATIVE_REGULATION_OF_MONOATOMIC_ION_TRANSPORT.html","GOBP_NEGATIVE_REGULATION_OF_MONOATOMIC_ION_TRANSPORT")</f>
        <v>GOBP_NEGATIVE_REGULATION_OF_MONOATOMIC_ION_TRANSPORT</v>
      </c>
      <c r="C2766" s="4">
        <v>151</v>
      </c>
      <c r="D2766" s="3">
        <v>1.1648756</v>
      </c>
      <c r="E2766" s="1">
        <v>0.17857143</v>
      </c>
      <c r="F2766" s="2">
        <v>0.34060717000000001</v>
      </c>
    </row>
    <row r="2767" spans="1:6" x14ac:dyDescent="0.25">
      <c r="A2767" t="s">
        <v>6</v>
      </c>
      <c r="B2767" s="5" t="str">
        <f>HYPERLINK("http://www.broadinstitute.org/gsea/msigdb/cards/GOBP_PHOSPHATIDYLINOSITOL_MEDIATED_SIGNALING.html","GOBP_PHOSPHATIDYLINOSITOL_MEDIATED_SIGNALING")</f>
        <v>GOBP_PHOSPHATIDYLINOSITOL_MEDIATED_SIGNALING</v>
      </c>
      <c r="C2767" s="4">
        <v>24</v>
      </c>
      <c r="D2767" s="3">
        <v>1.1645673999999999</v>
      </c>
      <c r="E2767" s="1">
        <v>0.2535461</v>
      </c>
      <c r="F2767" s="2">
        <v>0.34106727999999997</v>
      </c>
    </row>
    <row r="2768" spans="1:6" x14ac:dyDescent="0.25">
      <c r="A2768" t="s">
        <v>6</v>
      </c>
      <c r="B2768" s="5" t="str">
        <f>HYPERLINK("http://www.broadinstitute.org/gsea/msigdb/cards/GOBP_T_HELPER_2_CELL_CYTOKINE_PRODUCTION.html","GOBP_T_HELPER_2_CELL_CYTOKINE_PRODUCTION")</f>
        <v>GOBP_T_HELPER_2_CELL_CYTOKINE_PRODUCTION</v>
      </c>
      <c r="C2768" s="4">
        <v>17</v>
      </c>
      <c r="D2768" s="3">
        <v>1.1645627000000001</v>
      </c>
      <c r="E2768" s="1">
        <v>0.27513227000000001</v>
      </c>
      <c r="F2768" s="2">
        <v>0.34095138000000003</v>
      </c>
    </row>
    <row r="2769" spans="1:6" x14ac:dyDescent="0.25">
      <c r="A2769" t="s">
        <v>6</v>
      </c>
      <c r="B2769" s="5" t="str">
        <f>HYPERLINK("http://www.broadinstitute.org/gsea/msigdb/cards/GOBP_REGULATION_OF_ESTABLISHMENT_OF_CELL_POLARITY.html","GOBP_REGULATION_OF_ESTABLISHMENT_OF_CELL_POLARITY")</f>
        <v>GOBP_REGULATION_OF_ESTABLISHMENT_OF_CELL_POLARITY</v>
      </c>
      <c r="C2769" s="4">
        <v>22</v>
      </c>
      <c r="D2769" s="3">
        <v>1.1645620000000001</v>
      </c>
      <c r="E2769" s="1">
        <v>0.25173610000000002</v>
      </c>
      <c r="F2769" s="2">
        <v>0.34082963999999999</v>
      </c>
    </row>
    <row r="2770" spans="1:6" x14ac:dyDescent="0.25">
      <c r="A2770" t="s">
        <v>11</v>
      </c>
      <c r="B2770" s="5" t="str">
        <f>HYPERLINK("http://www.broadinstitute.org/gsea/msigdb/cards/WP_RETINOL_METABOLISM.html","WP_RETINOL_METABOLISM")</f>
        <v>WP_RETINOL_METABOLISM</v>
      </c>
      <c r="C2770" s="4">
        <v>39</v>
      </c>
      <c r="D2770" s="3">
        <v>1.1645131</v>
      </c>
      <c r="E2770" s="1">
        <v>0.22585923999999999</v>
      </c>
      <c r="F2770" s="2">
        <v>0.34079912000000001</v>
      </c>
    </row>
    <row r="2771" spans="1:6" x14ac:dyDescent="0.25">
      <c r="A2771" t="s">
        <v>6</v>
      </c>
      <c r="B2771" s="5" t="str">
        <f>HYPERLINK("http://www.broadinstitute.org/gsea/msigdb/cards/GOBP_REGULATION_OF_PROTEIN_DEPHOSPHORYLATION.html","GOBP_REGULATION_OF_PROTEIN_DEPHOSPHORYLATION")</f>
        <v>GOBP_REGULATION_OF_PROTEIN_DEPHOSPHORYLATION</v>
      </c>
      <c r="C2771" s="4">
        <v>85</v>
      </c>
      <c r="D2771" s="3">
        <v>1.1642702</v>
      </c>
      <c r="E2771" s="1">
        <v>0.19148936999999999</v>
      </c>
      <c r="F2771" s="2">
        <v>0.34112513</v>
      </c>
    </row>
    <row r="2772" spans="1:6" x14ac:dyDescent="0.25">
      <c r="A2772" t="s">
        <v>6</v>
      </c>
      <c r="B2772" s="5" t="str">
        <f>HYPERLINK("http://www.broadinstitute.org/gsea/msigdb/cards/GOBP_REGULATION_OF_NUCLEOCYTOPLASMIC_TRANSPORT.html","GOBP_REGULATION_OF_NUCLEOCYTOPLASMIC_TRANSPORT")</f>
        <v>GOBP_REGULATION_OF_NUCLEOCYTOPLASMIC_TRANSPORT</v>
      </c>
      <c r="C2772" s="4">
        <v>132</v>
      </c>
      <c r="D2772" s="3">
        <v>1.1640774</v>
      </c>
      <c r="E2772" s="1">
        <v>0.17189835000000001</v>
      </c>
      <c r="F2772" s="2">
        <v>0.34135159999999998</v>
      </c>
    </row>
    <row r="2773" spans="1:6" x14ac:dyDescent="0.25">
      <c r="A2773" t="s">
        <v>6</v>
      </c>
      <c r="B2773" s="5" t="str">
        <f>HYPERLINK("http://www.broadinstitute.org/gsea/msigdb/cards/GOBP_MESENCHYME_DEVELOPMENT.html","GOBP_MESENCHYME_DEVELOPMENT")</f>
        <v>GOBP_MESENCHYME_DEVELOPMENT</v>
      </c>
      <c r="C2773" s="4">
        <v>309</v>
      </c>
      <c r="D2773" s="3">
        <v>1.1635287000000001</v>
      </c>
      <c r="E2773" s="1">
        <v>0.11962365</v>
      </c>
      <c r="F2773" s="2">
        <v>0.34224506999999998</v>
      </c>
    </row>
    <row r="2774" spans="1:6" x14ac:dyDescent="0.25">
      <c r="A2774" t="s">
        <v>10</v>
      </c>
      <c r="B2774" s="5" t="str">
        <f>HYPERLINK("http://www.broadinstitute.org/gsea/msigdb/cards/REACTOME_RHOB_GTPASE_CYCLE.html","REACTOME_RHOB_GTPASE_CYCLE")</f>
        <v>REACTOME_RHOB_GTPASE_CYCLE</v>
      </c>
      <c r="C2774" s="4">
        <v>68</v>
      </c>
      <c r="D2774" s="3">
        <v>1.1631775</v>
      </c>
      <c r="E2774" s="1">
        <v>0.20839812999999999</v>
      </c>
      <c r="F2774" s="2">
        <v>0.34275109999999998</v>
      </c>
    </row>
    <row r="2775" spans="1:6" x14ac:dyDescent="0.25">
      <c r="A2775" t="s">
        <v>10</v>
      </c>
      <c r="B2775" s="5" t="str">
        <f>HYPERLINK("http://www.broadinstitute.org/gsea/msigdb/cards/REACTOME_ION_TRANSPORT_BY_P_TYPE_ATPASES.html","REACTOME_ION_TRANSPORT_BY_P_TYPE_ATPASES")</f>
        <v>REACTOME_ION_TRANSPORT_BY_P_TYPE_ATPASES</v>
      </c>
      <c r="C2775" s="4">
        <v>55</v>
      </c>
      <c r="D2775" s="3">
        <v>1.1630936000000001</v>
      </c>
      <c r="E2775" s="1">
        <v>0.21718750000000001</v>
      </c>
      <c r="F2775" s="2">
        <v>0.34277787999999998</v>
      </c>
    </row>
    <row r="2776" spans="1:6" x14ac:dyDescent="0.25">
      <c r="A2776" t="s">
        <v>6</v>
      </c>
      <c r="B2776" s="5" t="str">
        <f>HYPERLINK("http://www.broadinstitute.org/gsea/msigdb/cards/GOBP_POSITIVE_REGULATION_OF_ACTIVATED_T_CELL_PROLIFERATION.html","GOBP_POSITIVE_REGULATION_OF_ACTIVATED_T_CELL_PROLIFERATION")</f>
        <v>GOBP_POSITIVE_REGULATION_OF_ACTIVATED_T_CELL_PROLIFERATION</v>
      </c>
      <c r="C2776" s="4">
        <v>26</v>
      </c>
      <c r="D2776" s="3">
        <v>1.1630522000000001</v>
      </c>
      <c r="E2776" s="1">
        <v>0.22377622</v>
      </c>
      <c r="F2776" s="2">
        <v>0.34272580000000002</v>
      </c>
    </row>
    <row r="2777" spans="1:6" x14ac:dyDescent="0.25">
      <c r="A2777" t="s">
        <v>6</v>
      </c>
      <c r="B2777" s="5" t="str">
        <f>HYPERLINK("http://www.broadinstitute.org/gsea/msigdb/cards/GOBP_RESPONSE_TO_LEUKEMIA_INHIBITORY_FACTOR.html","GOBP_RESPONSE_TO_LEUKEMIA_INHIBITORY_FACTOR")</f>
        <v>GOBP_RESPONSE_TO_LEUKEMIA_INHIBITORY_FACTOR</v>
      </c>
      <c r="C2777" s="4">
        <v>127</v>
      </c>
      <c r="D2777" s="3">
        <v>1.1628263999999999</v>
      </c>
      <c r="E2777" s="1">
        <v>0.15982404</v>
      </c>
      <c r="F2777" s="2">
        <v>0.34301808</v>
      </c>
    </row>
    <row r="2778" spans="1:6" x14ac:dyDescent="0.25">
      <c r="A2778" t="s">
        <v>6</v>
      </c>
      <c r="B2778" s="5" t="str">
        <f>HYPERLINK("http://www.broadinstitute.org/gsea/msigdb/cards/GOBP_POSITIVE_REGULATION_OF_NUCLEOTIDE_BIOSYNTHETIC_PROCESS.html","GOBP_POSITIVE_REGULATION_OF_NUCLEOTIDE_BIOSYNTHETIC_PROCESS")</f>
        <v>GOBP_POSITIVE_REGULATION_OF_NUCLEOTIDE_BIOSYNTHETIC_PROCESS</v>
      </c>
      <c r="C2778" s="4">
        <v>21</v>
      </c>
      <c r="D2778" s="3">
        <v>1.1627970000000001</v>
      </c>
      <c r="E2778" s="1">
        <v>0.23570189999999999</v>
      </c>
      <c r="F2778" s="2">
        <v>0.34294799999999998</v>
      </c>
    </row>
    <row r="2779" spans="1:6" x14ac:dyDescent="0.25">
      <c r="A2779" t="s">
        <v>10</v>
      </c>
      <c r="B2779" s="5" t="str">
        <f>HYPERLINK("http://www.broadinstitute.org/gsea/msigdb/cards/REACTOME_SYNTHESIS_OF_SUBSTRATES_IN_N_GLYCAN_BIOSYTHESIS.html","REACTOME_SYNTHESIS_OF_SUBSTRATES_IN_N_GLYCAN_BIOSYTHESIS")</f>
        <v>REACTOME_SYNTHESIS_OF_SUBSTRATES_IN_N_GLYCAN_BIOSYTHESIS</v>
      </c>
      <c r="C2779" s="4">
        <v>59</v>
      </c>
      <c r="D2779" s="3">
        <v>1.1626677999999999</v>
      </c>
      <c r="E2779" s="1">
        <v>0.19936709</v>
      </c>
      <c r="F2779" s="2">
        <v>0.34306636000000001</v>
      </c>
    </row>
    <row r="2780" spans="1:6" x14ac:dyDescent="0.25">
      <c r="A2780" t="s">
        <v>10</v>
      </c>
      <c r="B2780" s="5" t="str">
        <f>HYPERLINK("http://www.broadinstitute.org/gsea/msigdb/cards/REACTOME_TRANSPORT_OF_BILE_SALTS_AND_ORGANIC_ACIDS_METAL_IONS_AND_AMINE_COMPOUNDS.html","REACTOME_TRANSPORT_OF_BILE_SALTS_AND_ORGANIC_ACIDS_METAL_IONS_AND_AMINE_COMPOUNDS")</f>
        <v>REACTOME_TRANSPORT_OF_BILE_SALTS_AND_ORGANIC_ACIDS_METAL_IONS_AND_AMINE_COMPOUNDS</v>
      </c>
      <c r="C2780" s="4">
        <v>70</v>
      </c>
      <c r="D2780" s="3">
        <v>1.1621642000000001</v>
      </c>
      <c r="E2780" s="1">
        <v>0.21226415000000001</v>
      </c>
      <c r="F2780" s="2">
        <v>0.34385391999999998</v>
      </c>
    </row>
    <row r="2781" spans="1:6" x14ac:dyDescent="0.25">
      <c r="A2781" t="s">
        <v>6</v>
      </c>
      <c r="B2781" s="5" t="str">
        <f>HYPERLINK("http://www.broadinstitute.org/gsea/msigdb/cards/GOBP_REGULATION_OF_INTRACELLULAR_TRANSPORT.html","GOBP_REGULATION_OF_INTRACELLULAR_TRANSPORT")</f>
        <v>GOBP_REGULATION_OF_INTRACELLULAR_TRANSPORT</v>
      </c>
      <c r="C2781" s="4">
        <v>338</v>
      </c>
      <c r="D2781" s="3">
        <v>1.1619538</v>
      </c>
      <c r="E2781" s="1">
        <v>0.106299214</v>
      </c>
      <c r="F2781" s="2">
        <v>0.34411019999999998</v>
      </c>
    </row>
    <row r="2782" spans="1:6" x14ac:dyDescent="0.25">
      <c r="A2782" t="s">
        <v>11</v>
      </c>
      <c r="B2782" s="5" t="str">
        <f>HYPERLINK("http://www.broadinstitute.org/gsea/msigdb/cards/WP_AMINO_ACID_METABOLISM.html","WP_AMINO_ACID_METABOLISM")</f>
        <v>WP_AMINO_ACID_METABOLISM</v>
      </c>
      <c r="C2782" s="4">
        <v>93</v>
      </c>
      <c r="D2782" s="3">
        <v>1.161934</v>
      </c>
      <c r="E2782" s="1">
        <v>0.20508982000000001</v>
      </c>
      <c r="F2782" s="2">
        <v>0.34402305</v>
      </c>
    </row>
    <row r="2783" spans="1:6" x14ac:dyDescent="0.25">
      <c r="A2783" t="s">
        <v>10</v>
      </c>
      <c r="B2783" s="5" t="str">
        <f>HYPERLINK("http://www.broadinstitute.org/gsea/msigdb/cards/REACTOME_THROMBOXANE_SIGNALLING_THROUGH_TP_RECEPTOR.html","REACTOME_THROMBOXANE_SIGNALLING_THROUGH_TP_RECEPTOR")</f>
        <v>REACTOME_THROMBOXANE_SIGNALLING_THROUGH_TP_RECEPTOR</v>
      </c>
      <c r="C2783" s="4">
        <v>23</v>
      </c>
      <c r="D2783" s="3">
        <v>1.1614188000000001</v>
      </c>
      <c r="E2783" s="1">
        <v>0.25207296000000001</v>
      </c>
      <c r="F2783" s="2">
        <v>0.34485334000000001</v>
      </c>
    </row>
    <row r="2784" spans="1:6" x14ac:dyDescent="0.25">
      <c r="A2784" t="s">
        <v>6</v>
      </c>
      <c r="B2784" s="5" t="str">
        <f>HYPERLINK("http://www.broadinstitute.org/gsea/msigdb/cards/GOBP_NEGATIVE_REGULATION_OF_HORMONE_SECRETION.html","GOBP_NEGATIVE_REGULATION_OF_HORMONE_SECRETION")</f>
        <v>GOBP_NEGATIVE_REGULATION_OF_HORMONE_SECRETION</v>
      </c>
      <c r="C2784" s="4">
        <v>95</v>
      </c>
      <c r="D2784" s="3">
        <v>1.1610917999999999</v>
      </c>
      <c r="E2784" s="1">
        <v>0.19878604</v>
      </c>
      <c r="F2784" s="2">
        <v>0.34530031999999999</v>
      </c>
    </row>
    <row r="2785" spans="1:6" x14ac:dyDescent="0.25">
      <c r="A2785" t="s">
        <v>6</v>
      </c>
      <c r="B2785" s="5" t="str">
        <f>HYPERLINK("http://www.broadinstitute.org/gsea/msigdb/cards/GOBP_MAMMARY_GLAND_ALVEOLUS_DEVELOPMENT.html","GOBP_MAMMARY_GLAND_ALVEOLUS_DEVELOPMENT")</f>
        <v>GOBP_MAMMARY_GLAND_ALVEOLUS_DEVELOPMENT</v>
      </c>
      <c r="C2785" s="4">
        <v>22</v>
      </c>
      <c r="D2785" s="3">
        <v>1.1610590000000001</v>
      </c>
      <c r="E2785" s="1">
        <v>0.26215280000000002</v>
      </c>
      <c r="F2785" s="2">
        <v>0.34524106999999998</v>
      </c>
    </row>
    <row r="2786" spans="1:6" x14ac:dyDescent="0.25">
      <c r="A2786" t="s">
        <v>6</v>
      </c>
      <c r="B2786" s="5" t="str">
        <f>HYPERLINK("http://www.broadinstitute.org/gsea/msigdb/cards/GOBP_ENSHEATHMENT_OF_NEURONS.html","GOBP_ENSHEATHMENT_OF_NEURONS")</f>
        <v>GOBP_ENSHEATHMENT_OF_NEURONS</v>
      </c>
      <c r="C2786" s="4">
        <v>173</v>
      </c>
      <c r="D2786" s="3">
        <v>1.1607715000000001</v>
      </c>
      <c r="E2786" s="1">
        <v>0.15277778</v>
      </c>
      <c r="F2786" s="2">
        <v>0.34565747000000002</v>
      </c>
    </row>
    <row r="2787" spans="1:6" x14ac:dyDescent="0.25">
      <c r="A2787" t="s">
        <v>6</v>
      </c>
      <c r="B2787" s="5" t="str">
        <f>HYPERLINK("http://www.broadinstitute.org/gsea/msigdb/cards/GOBP_POSITIVE_REGULATION_OF_ENDOTHELIAL_CELL_CHEMOTAXIS.html","GOBP_POSITIVE_REGULATION_OF_ENDOTHELIAL_CELL_CHEMOTAXIS")</f>
        <v>GOBP_POSITIVE_REGULATION_OF_ENDOTHELIAL_CELL_CHEMOTAXIS</v>
      </c>
      <c r="C2787" s="4">
        <v>17</v>
      </c>
      <c r="D2787" s="3">
        <v>1.160766</v>
      </c>
      <c r="E2787" s="1">
        <v>0.25939849999999998</v>
      </c>
      <c r="F2787" s="2">
        <v>0.34554185999999998</v>
      </c>
    </row>
    <row r="2788" spans="1:6" x14ac:dyDescent="0.25">
      <c r="A2788" t="s">
        <v>6</v>
      </c>
      <c r="B2788" s="5" t="str">
        <f>HYPERLINK("http://www.broadinstitute.org/gsea/msigdb/cards/GOBP_LATE_ENDOSOME_TO_VACUOLE_TRANSPORT_VIA_MULTIVESICULAR_BODY_SORTING_PATHWAY.html","GOBP_LATE_ENDOSOME_TO_VACUOLE_TRANSPORT_VIA_MULTIVESICULAR_BODY_SORTING_PATHWAY")</f>
        <v>GOBP_LATE_ENDOSOME_TO_VACUOLE_TRANSPORT_VIA_MULTIVESICULAR_BODY_SORTING_PATHWAY</v>
      </c>
      <c r="C2788" s="4">
        <v>16</v>
      </c>
      <c r="D2788" s="3">
        <v>1.1607211</v>
      </c>
      <c r="E2788" s="1">
        <v>0.26584506000000002</v>
      </c>
      <c r="F2788" s="2">
        <v>0.34551102</v>
      </c>
    </row>
    <row r="2789" spans="1:6" x14ac:dyDescent="0.25">
      <c r="A2789" t="s">
        <v>6</v>
      </c>
      <c r="B2789" s="5" t="str">
        <f>HYPERLINK("http://www.broadinstitute.org/gsea/msigdb/cards/GOBP_EMBRYONIC_HEART_TUBE_DEVELOPMENT.html","GOBP_EMBRYONIC_HEART_TUBE_DEVELOPMENT")</f>
        <v>GOBP_EMBRYONIC_HEART_TUBE_DEVELOPMENT</v>
      </c>
      <c r="C2789" s="4">
        <v>91</v>
      </c>
      <c r="D2789" s="3">
        <v>1.160606</v>
      </c>
      <c r="E2789" s="1">
        <v>0.20716509999999999</v>
      </c>
      <c r="F2789" s="2">
        <v>0.34560305000000002</v>
      </c>
    </row>
    <row r="2790" spans="1:6" x14ac:dyDescent="0.25">
      <c r="A2790" t="s">
        <v>10</v>
      </c>
      <c r="B2790" s="5" t="str">
        <f>HYPERLINK("http://www.broadinstitute.org/gsea/msigdb/cards/REACTOME_MISCELLANEOUS_TRANSPORT_AND_BINDING_EVENTS.html","REACTOME_MISCELLANEOUS_TRANSPORT_AND_BINDING_EVENTS")</f>
        <v>REACTOME_MISCELLANEOUS_TRANSPORT_AND_BINDING_EVENTS</v>
      </c>
      <c r="C2790" s="4">
        <v>24</v>
      </c>
      <c r="D2790" s="3">
        <v>1.1605676</v>
      </c>
      <c r="E2790" s="1">
        <v>0.26130651999999999</v>
      </c>
      <c r="F2790" s="2">
        <v>0.34554206999999998</v>
      </c>
    </row>
    <row r="2791" spans="1:6" x14ac:dyDescent="0.25">
      <c r="A2791" t="s">
        <v>6</v>
      </c>
      <c r="B2791" s="5" t="str">
        <f>HYPERLINK("http://www.broadinstitute.org/gsea/msigdb/cards/GOBP_REGULATION_OF_BINDING.html","GOBP_REGULATION_OF_BINDING")</f>
        <v>GOBP_REGULATION_OF_BINDING</v>
      </c>
      <c r="C2791" s="4">
        <v>393</v>
      </c>
      <c r="D2791" s="3">
        <v>1.1604167000000001</v>
      </c>
      <c r="E2791" s="1">
        <v>9.1623040000000003E-2</v>
      </c>
      <c r="F2791" s="2">
        <v>0.34570265</v>
      </c>
    </row>
    <row r="2792" spans="1:6" x14ac:dyDescent="0.25">
      <c r="A2792" t="s">
        <v>8</v>
      </c>
      <c r="B2792" s="5" t="str">
        <f>HYPERLINK("http://www.broadinstitute.org/gsea/msigdb/cards/GOMF_PEPTIDE_HORMONE_RECEPTOR_BINDING.html","GOMF_PEPTIDE_HORMONE_RECEPTOR_BINDING")</f>
        <v>GOMF_PEPTIDE_HORMONE_RECEPTOR_BINDING</v>
      </c>
      <c r="C2792" s="4">
        <v>17</v>
      </c>
      <c r="D2792" s="3">
        <v>1.1599691000000001</v>
      </c>
      <c r="E2792" s="1">
        <v>0.25176057000000002</v>
      </c>
      <c r="F2792" s="2">
        <v>0.34645280000000001</v>
      </c>
    </row>
    <row r="2793" spans="1:6" x14ac:dyDescent="0.25">
      <c r="A2793" t="s">
        <v>6</v>
      </c>
      <c r="B2793" s="5" t="str">
        <f>HYPERLINK("http://www.broadinstitute.org/gsea/msigdb/cards/GOBP_NEGATIVE_REGULATION_OF_SIGNAL_TRANSDUCTION_IN_ABSENCE_OF_LIGAND.html","GOBP_NEGATIVE_REGULATION_OF_SIGNAL_TRANSDUCTION_IN_ABSENCE_OF_LIGAND")</f>
        <v>GOBP_NEGATIVE_REGULATION_OF_SIGNAL_TRANSDUCTION_IN_ABSENCE_OF_LIGAND</v>
      </c>
      <c r="C2793" s="4">
        <v>32</v>
      </c>
      <c r="D2793" s="3">
        <v>1.1595146999999999</v>
      </c>
      <c r="E2793" s="1">
        <v>0.22881356</v>
      </c>
      <c r="F2793" s="2">
        <v>0.34717579999999998</v>
      </c>
    </row>
    <row r="2794" spans="1:6" x14ac:dyDescent="0.25">
      <c r="A2794" t="s">
        <v>6</v>
      </c>
      <c r="B2794" s="5" t="str">
        <f>HYPERLINK("http://www.broadinstitute.org/gsea/msigdb/cards/GOBP_POSITIVE_REGULATION_OF_MUSCLE_CELL_APOPTOTIC_PROCESS.html","GOBP_POSITIVE_REGULATION_OF_MUSCLE_CELL_APOPTOTIC_PROCESS")</f>
        <v>GOBP_POSITIVE_REGULATION_OF_MUSCLE_CELL_APOPTOTIC_PROCESS</v>
      </c>
      <c r="C2794" s="4">
        <v>40</v>
      </c>
      <c r="D2794" s="3">
        <v>1.1590157999999999</v>
      </c>
      <c r="E2794" s="1">
        <v>0.22383253</v>
      </c>
      <c r="F2794" s="2">
        <v>0.34796392999999998</v>
      </c>
    </row>
    <row r="2795" spans="1:6" x14ac:dyDescent="0.25">
      <c r="A2795" t="s">
        <v>8</v>
      </c>
      <c r="B2795" s="5" t="str">
        <f>HYPERLINK("http://www.broadinstitute.org/gsea/msigdb/cards/GOMF_ABC_TYPE_TRANSPORTER_ACTIVITY.html","GOMF_ABC_TYPE_TRANSPORTER_ACTIVITY")</f>
        <v>GOMF_ABC_TYPE_TRANSPORTER_ACTIVITY</v>
      </c>
      <c r="C2795" s="4">
        <v>47</v>
      </c>
      <c r="D2795" s="3">
        <v>1.1587405</v>
      </c>
      <c r="E2795" s="1">
        <v>0.22720000000000001</v>
      </c>
      <c r="F2795" s="2">
        <v>0.34834236000000002</v>
      </c>
    </row>
    <row r="2796" spans="1:6" x14ac:dyDescent="0.25">
      <c r="A2796" t="s">
        <v>7</v>
      </c>
      <c r="B2796" s="5" t="str">
        <f>HYPERLINK("http://www.broadinstitute.org/gsea/msigdb/cards/GOCC_MICROVILLUS_MEMBRANE.html","GOCC_MICROVILLUS_MEMBRANE")</f>
        <v>GOCC_MICROVILLUS_MEMBRANE</v>
      </c>
      <c r="C2796" s="4">
        <v>23</v>
      </c>
      <c r="D2796" s="3">
        <v>1.158307</v>
      </c>
      <c r="E2796" s="1">
        <v>0.26678446</v>
      </c>
      <c r="F2796" s="2">
        <v>0.34902014999999997</v>
      </c>
    </row>
    <row r="2797" spans="1:6" x14ac:dyDescent="0.25">
      <c r="A2797" t="s">
        <v>6</v>
      </c>
      <c r="B2797" s="5" t="str">
        <f>HYPERLINK("http://www.broadinstitute.org/gsea/msigdb/cards/GOBP_HYALURONAN_BIOSYNTHETIC_PROCESS.html","GOBP_HYALURONAN_BIOSYNTHETIC_PROCESS")</f>
        <v>GOBP_HYALURONAN_BIOSYNTHETIC_PROCESS</v>
      </c>
      <c r="C2797" s="4">
        <v>15</v>
      </c>
      <c r="D2797" s="3">
        <v>1.1579286</v>
      </c>
      <c r="E2797" s="1">
        <v>0.25042017999999999</v>
      </c>
      <c r="F2797" s="2">
        <v>0.34960150000000001</v>
      </c>
    </row>
    <row r="2798" spans="1:6" x14ac:dyDescent="0.25">
      <c r="A2798" t="s">
        <v>6</v>
      </c>
      <c r="B2798" s="5" t="str">
        <f>HYPERLINK("http://www.broadinstitute.org/gsea/msigdb/cards/GOBP_SEMAPHORIN_PLEXIN_SIGNALING_PATHWAY.html","GOBP_SEMAPHORIN_PLEXIN_SIGNALING_PATHWAY")</f>
        <v>GOBP_SEMAPHORIN_PLEXIN_SIGNALING_PATHWAY</v>
      </c>
      <c r="C2798" s="4">
        <v>45</v>
      </c>
      <c r="D2798" s="3">
        <v>1.1577499</v>
      </c>
      <c r="E2798" s="1">
        <v>0.2432</v>
      </c>
      <c r="F2798" s="2">
        <v>0.34981902999999998</v>
      </c>
    </row>
    <row r="2799" spans="1:6" x14ac:dyDescent="0.25">
      <c r="A2799" t="s">
        <v>6</v>
      </c>
      <c r="B2799" s="5" t="str">
        <f>HYPERLINK("http://www.broadinstitute.org/gsea/msigdb/cards/GOBP_POSTSYNAPTIC_SIGNAL_TRANSDUCTION.html","GOBP_POSTSYNAPTIC_SIGNAL_TRANSDUCTION")</f>
        <v>GOBP_POSTSYNAPTIC_SIGNAL_TRANSDUCTION</v>
      </c>
      <c r="C2799" s="4">
        <v>61</v>
      </c>
      <c r="D2799" s="3">
        <v>1.1575607000000001</v>
      </c>
      <c r="E2799" s="1">
        <v>0.23794213</v>
      </c>
      <c r="F2799" s="2">
        <v>0.35002765000000002</v>
      </c>
    </row>
    <row r="2800" spans="1:6" x14ac:dyDescent="0.25">
      <c r="A2800" t="s">
        <v>8</v>
      </c>
      <c r="B2800" s="5" t="str">
        <f>HYPERLINK("http://www.broadinstitute.org/gsea/msigdb/cards/GOMF_ADP_BINDING.html","GOMF_ADP_BINDING")</f>
        <v>GOMF_ADP_BINDING</v>
      </c>
      <c r="C2800" s="4">
        <v>41</v>
      </c>
      <c r="D2800" s="3">
        <v>1.1572552</v>
      </c>
      <c r="E2800" s="1">
        <v>0.22525597</v>
      </c>
      <c r="F2800" s="2">
        <v>0.35048302999999997</v>
      </c>
    </row>
    <row r="2801" spans="1:6" x14ac:dyDescent="0.25">
      <c r="A2801" t="s">
        <v>6</v>
      </c>
      <c r="B2801" s="5" t="str">
        <f>HYPERLINK("http://www.broadinstitute.org/gsea/msigdb/cards/GOBP_MONOCARBOXYLIC_ACID_CATABOLIC_PROCESS.html","GOBP_MONOCARBOXYLIC_ACID_CATABOLIC_PROCESS")</f>
        <v>GOBP_MONOCARBOXYLIC_ACID_CATABOLIC_PROCESS</v>
      </c>
      <c r="C2801" s="4">
        <v>135</v>
      </c>
      <c r="D2801" s="3">
        <v>1.1571809</v>
      </c>
      <c r="E2801" s="1">
        <v>0.18023254999999999</v>
      </c>
      <c r="F2801" s="2">
        <v>0.35049877000000002</v>
      </c>
    </row>
    <row r="2802" spans="1:6" x14ac:dyDescent="0.25">
      <c r="A2802" t="s">
        <v>6</v>
      </c>
      <c r="B2802" s="5" t="str">
        <f>HYPERLINK("http://www.broadinstitute.org/gsea/msigdb/cards/GOBP_NEGATIVE_REGULATION_OF_REPRODUCTIVE_PROCESS.html","GOBP_NEGATIVE_REGULATION_OF_REPRODUCTIVE_PROCESS")</f>
        <v>GOBP_NEGATIVE_REGULATION_OF_REPRODUCTIVE_PROCESS</v>
      </c>
      <c r="C2802" s="4">
        <v>75</v>
      </c>
      <c r="D2802" s="3">
        <v>1.1571127000000001</v>
      </c>
      <c r="E2802" s="1">
        <v>0.19354837999999999</v>
      </c>
      <c r="F2802" s="2">
        <v>0.35050708000000003</v>
      </c>
    </row>
    <row r="2803" spans="1:6" x14ac:dyDescent="0.25">
      <c r="A2803" t="s">
        <v>6</v>
      </c>
      <c r="B2803" s="5" t="str">
        <f>HYPERLINK("http://www.broadinstitute.org/gsea/msigdb/cards/GOBP_BRANCHING_INVOLVED_IN_SALIVARY_GLAND_MORPHOGENESIS.html","GOBP_BRANCHING_INVOLVED_IN_SALIVARY_GLAND_MORPHOGENESIS")</f>
        <v>GOBP_BRANCHING_INVOLVED_IN_SALIVARY_GLAND_MORPHOGENESIS</v>
      </c>
      <c r="C2803" s="4">
        <v>28</v>
      </c>
      <c r="D2803" s="3">
        <v>1.1570746999999999</v>
      </c>
      <c r="E2803" s="1">
        <v>0.25876460000000001</v>
      </c>
      <c r="F2803" s="2">
        <v>0.35044429999999999</v>
      </c>
    </row>
    <row r="2804" spans="1:6" x14ac:dyDescent="0.25">
      <c r="A2804" t="s">
        <v>6</v>
      </c>
      <c r="B2804" s="5" t="str">
        <f>HYPERLINK("http://www.broadinstitute.org/gsea/msigdb/cards/GOBP_CLATHRIN_DEPENDENT_ENDOCYTOSIS.html","GOBP_CLATHRIN_DEPENDENT_ENDOCYTOSIS")</f>
        <v>GOBP_CLATHRIN_DEPENDENT_ENDOCYTOSIS</v>
      </c>
      <c r="C2804" s="4">
        <v>48</v>
      </c>
      <c r="D2804" s="3">
        <v>1.1568445999999999</v>
      </c>
      <c r="E2804" s="1">
        <v>0.23666666</v>
      </c>
      <c r="F2804" s="2">
        <v>0.35073273999999999</v>
      </c>
    </row>
    <row r="2805" spans="1:6" x14ac:dyDescent="0.25">
      <c r="A2805" t="s">
        <v>6</v>
      </c>
      <c r="B2805" s="5" t="str">
        <f>HYPERLINK("http://www.broadinstitute.org/gsea/msigdb/cards/GOBP_NEGATIVE_REGULATION_OF_TRIGLYCERIDE_METABOLIC_PROCESS.html","GOBP_NEGATIVE_REGULATION_OF_TRIGLYCERIDE_METABOLIC_PROCESS")</f>
        <v>GOBP_NEGATIVE_REGULATION_OF_TRIGLYCERIDE_METABOLIC_PROCESS</v>
      </c>
      <c r="C2805" s="4">
        <v>15</v>
      </c>
      <c r="D2805" s="3">
        <v>1.1566808</v>
      </c>
      <c r="E2805" s="1">
        <v>0.25694444999999999</v>
      </c>
      <c r="F2805" s="2">
        <v>0.35092287999999999</v>
      </c>
    </row>
    <row r="2806" spans="1:6" x14ac:dyDescent="0.25">
      <c r="A2806" t="s">
        <v>7</v>
      </c>
      <c r="B2806" s="5" t="str">
        <f>HYPERLINK("http://www.broadinstitute.org/gsea/msigdb/cards/GOCC_NUCLEAR_PORE.html","GOCC_NUCLEAR_PORE")</f>
        <v>GOCC_NUCLEAR_PORE</v>
      </c>
      <c r="C2806" s="4">
        <v>76</v>
      </c>
      <c r="D2806" s="3">
        <v>1.1563352</v>
      </c>
      <c r="E2806" s="1">
        <v>0.20781250000000001</v>
      </c>
      <c r="F2806" s="2">
        <v>0.35146168</v>
      </c>
    </row>
    <row r="2807" spans="1:6" x14ac:dyDescent="0.25">
      <c r="A2807" t="s">
        <v>6</v>
      </c>
      <c r="B2807" s="5" t="str">
        <f>HYPERLINK("http://www.broadinstitute.org/gsea/msigdb/cards/GOBP_CELLULAR_COMPONENT_DISASSEMBLY.html","GOBP_CELLULAR_COMPONENT_DISASSEMBLY")</f>
        <v>GOBP_CELLULAR_COMPONENT_DISASSEMBLY</v>
      </c>
      <c r="C2807" s="4">
        <v>455</v>
      </c>
      <c r="D2807" s="3">
        <v>1.1561870000000001</v>
      </c>
      <c r="E2807" s="1">
        <v>9.4508300000000003E-2</v>
      </c>
      <c r="F2807" s="2">
        <v>0.35162979999999999</v>
      </c>
    </row>
    <row r="2808" spans="1:6" x14ac:dyDescent="0.25">
      <c r="A2808" t="s">
        <v>6</v>
      </c>
      <c r="B2808" s="5" t="str">
        <f>HYPERLINK("http://www.broadinstitute.org/gsea/msigdb/cards/GOBP_ENDOCARDIAL_CUSHION_MORPHOGENESIS.html","GOBP_ENDOCARDIAL_CUSHION_MORPHOGENESIS")</f>
        <v>GOBP_ENDOCARDIAL_CUSHION_MORPHOGENESIS</v>
      </c>
      <c r="C2808" s="4">
        <v>42</v>
      </c>
      <c r="D2808" s="3">
        <v>1.1553884999999999</v>
      </c>
      <c r="E2808" s="1">
        <v>0.24469821</v>
      </c>
      <c r="F2808" s="2">
        <v>0.35300160000000003</v>
      </c>
    </row>
    <row r="2809" spans="1:6" x14ac:dyDescent="0.25">
      <c r="A2809" t="s">
        <v>6</v>
      </c>
      <c r="B2809" s="5" t="str">
        <f>HYPERLINK("http://www.broadinstitute.org/gsea/msigdb/cards/GOBP_REGULATION_OF_TRANSLATIONAL_INITIATION.html","GOBP_REGULATION_OF_TRANSLATIONAL_INITIATION")</f>
        <v>GOBP_REGULATION_OF_TRANSLATIONAL_INITIATION</v>
      </c>
      <c r="C2809" s="4">
        <v>63</v>
      </c>
      <c r="D2809" s="3">
        <v>1.1547396000000001</v>
      </c>
      <c r="E2809" s="1">
        <v>0.21486267000000001</v>
      </c>
      <c r="F2809" s="2">
        <v>0.35408820000000002</v>
      </c>
    </row>
    <row r="2810" spans="1:6" x14ac:dyDescent="0.25">
      <c r="A2810" t="s">
        <v>6</v>
      </c>
      <c r="B2810" s="5" t="str">
        <f>HYPERLINK("http://www.broadinstitute.org/gsea/msigdb/cards/GOBP_FATTY_ACID_BETA_OXIDATION.html","GOBP_FATTY_ACID_BETA_OXIDATION")</f>
        <v>GOBP_FATTY_ACID_BETA_OXIDATION</v>
      </c>
      <c r="C2810" s="4">
        <v>76</v>
      </c>
      <c r="D2810" s="3">
        <v>1.154738</v>
      </c>
      <c r="E2810" s="1">
        <v>0.23219814999999999</v>
      </c>
      <c r="F2810" s="2">
        <v>0.35396664999999999</v>
      </c>
    </row>
    <row r="2811" spans="1:6" x14ac:dyDescent="0.25">
      <c r="A2811" t="s">
        <v>6</v>
      </c>
      <c r="B2811" s="5" t="str">
        <f>HYPERLINK("http://www.broadinstitute.org/gsea/msigdb/cards/GOBP_CHLORIDE_TRANSPORT.html","GOBP_CHLORIDE_TRANSPORT")</f>
        <v>GOBP_CHLORIDE_TRANSPORT</v>
      </c>
      <c r="C2811" s="4">
        <v>107</v>
      </c>
      <c r="D2811" s="3">
        <v>1.1545380000000001</v>
      </c>
      <c r="E2811" s="1">
        <v>0.18070443999999999</v>
      </c>
      <c r="F2811" s="2">
        <v>0.35421932</v>
      </c>
    </row>
    <row r="2812" spans="1:6" x14ac:dyDescent="0.25">
      <c r="A2812" t="s">
        <v>11</v>
      </c>
      <c r="B2812" s="5" t="str">
        <f>HYPERLINK("http://www.broadinstitute.org/gsea/msigdb/cards/WP_P53_SIGNALING.html","WP_P53_SIGNALING")</f>
        <v>WP_P53_SIGNALING</v>
      </c>
      <c r="C2812" s="4">
        <v>65</v>
      </c>
      <c r="D2812" s="3">
        <v>1.1543791999999999</v>
      </c>
      <c r="E2812" s="1">
        <v>0.22025723999999999</v>
      </c>
      <c r="F2812" s="2">
        <v>0.35439282999999999</v>
      </c>
    </row>
    <row r="2813" spans="1:6" x14ac:dyDescent="0.25">
      <c r="A2813" t="s">
        <v>6</v>
      </c>
      <c r="B2813" s="5" t="str">
        <f>HYPERLINK("http://www.broadinstitute.org/gsea/msigdb/cards/GOBP_CD4_POSITIVE_OR_CD8_POSITIVE_ALPHA_BETA_T_CELL_LINEAGE_COMMITMENT.html","GOBP_CD4_POSITIVE_OR_CD8_POSITIVE_ALPHA_BETA_T_CELL_LINEAGE_COMMITMENT")</f>
        <v>GOBP_CD4_POSITIVE_OR_CD8_POSITIVE_ALPHA_BETA_T_CELL_LINEAGE_COMMITMENT</v>
      </c>
      <c r="C2813" s="4">
        <v>24</v>
      </c>
      <c r="D2813" s="3">
        <v>1.1543551999999999</v>
      </c>
      <c r="E2813" s="1">
        <v>0.2578397</v>
      </c>
      <c r="F2813" s="2">
        <v>0.35431489999999999</v>
      </c>
    </row>
    <row r="2814" spans="1:6" x14ac:dyDescent="0.25">
      <c r="A2814" t="s">
        <v>6</v>
      </c>
      <c r="B2814" s="5" t="str">
        <f>HYPERLINK("http://www.broadinstitute.org/gsea/msigdb/cards/GOBP_SPINDLE_LOCALIZATION.html","GOBP_SPINDLE_LOCALIZATION")</f>
        <v>GOBP_SPINDLE_LOCALIZATION</v>
      </c>
      <c r="C2814" s="4">
        <v>62</v>
      </c>
      <c r="D2814" s="3">
        <v>1.1542466</v>
      </c>
      <c r="E2814" s="1">
        <v>0.22033899000000001</v>
      </c>
      <c r="F2814" s="2">
        <v>0.35439493999999999</v>
      </c>
    </row>
    <row r="2815" spans="1:6" x14ac:dyDescent="0.25">
      <c r="A2815" t="s">
        <v>6</v>
      </c>
      <c r="B2815" s="5" t="str">
        <f>HYPERLINK("http://www.broadinstitute.org/gsea/msigdb/cards/GOBP_REGULATION_OF_LONG_TERM_NEURONAL_SYNAPTIC_PLASTICITY.html","GOBP_REGULATION_OF_LONG_TERM_NEURONAL_SYNAPTIC_PLASTICITY")</f>
        <v>GOBP_REGULATION_OF_LONG_TERM_NEURONAL_SYNAPTIC_PLASTICITY</v>
      </c>
      <c r="C2815" s="4">
        <v>37</v>
      </c>
      <c r="D2815" s="3">
        <v>1.1541541</v>
      </c>
      <c r="E2815" s="1">
        <v>0.23754153</v>
      </c>
      <c r="F2815" s="2">
        <v>0.35442214999999999</v>
      </c>
    </row>
    <row r="2816" spans="1:6" x14ac:dyDescent="0.25">
      <c r="A2816" t="s">
        <v>5</v>
      </c>
      <c r="B2816" s="5" t="str">
        <f>HYPERLINK("http://www.broadinstitute.org/gsea/msigdb/cards/BIOCARTA_RAC1_PATHWAY.html","BIOCARTA_RAC1_PATHWAY")</f>
        <v>BIOCARTA_RAC1_PATHWAY</v>
      </c>
      <c r="C2816" s="4">
        <v>21</v>
      </c>
      <c r="D2816" s="3">
        <v>1.1536375000000001</v>
      </c>
      <c r="E2816" s="1">
        <v>0.24271844000000001</v>
      </c>
      <c r="F2816" s="2">
        <v>0.35521354999999999</v>
      </c>
    </row>
    <row r="2817" spans="1:6" x14ac:dyDescent="0.25">
      <c r="A2817" t="s">
        <v>10</v>
      </c>
      <c r="B2817" s="5" t="str">
        <f>HYPERLINK("http://www.broadinstitute.org/gsea/msigdb/cards/REACTOME_DEVELOPMENTAL_BIOLOGY.html","REACTOME_DEVELOPMENTAL_BIOLOGY")</f>
        <v>REACTOME_DEVELOPMENTAL_BIOLOGY</v>
      </c>
      <c r="C2817" s="4">
        <v>466</v>
      </c>
      <c r="D2817" s="3">
        <v>1.1528821</v>
      </c>
      <c r="E2817" s="1">
        <v>0.1083871</v>
      </c>
      <c r="F2817" s="2">
        <v>0.35650989999999999</v>
      </c>
    </row>
    <row r="2818" spans="1:6" x14ac:dyDescent="0.25">
      <c r="A2818" t="s">
        <v>6</v>
      </c>
      <c r="B2818" s="5" t="str">
        <f>HYPERLINK("http://www.broadinstitute.org/gsea/msigdb/cards/GOBP_REGULATION_OF_HETEROTYPIC_CELL_CELL_ADHESION.html","GOBP_REGULATION_OF_HETEROTYPIC_CELL_CELL_ADHESION")</f>
        <v>GOBP_REGULATION_OF_HETEROTYPIC_CELL_CELL_ADHESION</v>
      </c>
      <c r="C2818" s="4">
        <v>24</v>
      </c>
      <c r="D2818" s="3">
        <v>1.1528342</v>
      </c>
      <c r="E2818" s="1">
        <v>0.25925925</v>
      </c>
      <c r="F2818" s="2">
        <v>0.35647701999999998</v>
      </c>
    </row>
    <row r="2819" spans="1:6" x14ac:dyDescent="0.25">
      <c r="A2819" t="s">
        <v>9</v>
      </c>
      <c r="B2819" s="5" t="str">
        <f>HYPERLINK("http://www.broadinstitute.org/gsea/msigdb/cards/HALLMARK_MITOTIC_SPINDLE.html","HALLMARK_MITOTIC_SPINDLE")</f>
        <v>HALLMARK_MITOTIC_SPINDLE</v>
      </c>
      <c r="C2819" s="4">
        <v>199</v>
      </c>
      <c r="D2819" s="3">
        <v>1.1528244999999999</v>
      </c>
      <c r="E2819" s="1">
        <v>0.14878398000000001</v>
      </c>
      <c r="F2819" s="2">
        <v>0.35636459999999998</v>
      </c>
    </row>
    <row r="2820" spans="1:6" x14ac:dyDescent="0.25">
      <c r="A2820" t="s">
        <v>6</v>
      </c>
      <c r="B2820" s="5" t="str">
        <f>HYPERLINK("http://www.broadinstitute.org/gsea/msigdb/cards/GOBP_MITOPHAGY.html","GOBP_MITOPHAGY")</f>
        <v>GOBP_MITOPHAGY</v>
      </c>
      <c r="C2820" s="4">
        <v>42</v>
      </c>
      <c r="D2820" s="3">
        <v>1.152752</v>
      </c>
      <c r="E2820" s="1">
        <v>0.24149108</v>
      </c>
      <c r="F2820" s="2">
        <v>0.35638546999999998</v>
      </c>
    </row>
    <row r="2821" spans="1:6" x14ac:dyDescent="0.25">
      <c r="A2821" t="s">
        <v>6</v>
      </c>
      <c r="B2821" s="5" t="str">
        <f>HYPERLINK("http://www.broadinstitute.org/gsea/msigdb/cards/GOBP_POSITIVE_REGULATION_OF_CELLULAR_RESPONSE_TO_INSULIN_STIMULUS.html","GOBP_POSITIVE_REGULATION_OF_CELLULAR_RESPONSE_TO_INSULIN_STIMULUS")</f>
        <v>GOBP_POSITIVE_REGULATION_OF_CELLULAR_RESPONSE_TO_INSULIN_STIMULUS</v>
      </c>
      <c r="C2821" s="4">
        <v>34</v>
      </c>
      <c r="D2821" s="3">
        <v>1.1526375</v>
      </c>
      <c r="E2821" s="1">
        <v>0.23737374</v>
      </c>
      <c r="F2821" s="2">
        <v>0.35645275999999998</v>
      </c>
    </row>
    <row r="2822" spans="1:6" x14ac:dyDescent="0.25">
      <c r="A2822" t="s">
        <v>6</v>
      </c>
      <c r="B2822" s="5" t="str">
        <f>HYPERLINK("http://www.broadinstitute.org/gsea/msigdb/cards/GOBP_CELLULAR_RESPONSE_TO_COPPER_ION.html","GOBP_CELLULAR_RESPONSE_TO_COPPER_ION")</f>
        <v>GOBP_CELLULAR_RESPONSE_TO_COPPER_ION</v>
      </c>
      <c r="C2822" s="4">
        <v>16</v>
      </c>
      <c r="D2822" s="3">
        <v>1.1519431</v>
      </c>
      <c r="E2822" s="1">
        <v>0.28646749999999999</v>
      </c>
      <c r="F2822" s="2">
        <v>0.35766575</v>
      </c>
    </row>
    <row r="2823" spans="1:6" x14ac:dyDescent="0.25">
      <c r="A2823" t="s">
        <v>10</v>
      </c>
      <c r="B2823" s="5" t="str">
        <f>HYPERLINK("http://www.broadinstitute.org/gsea/msigdb/cards/REACTOME_FACTORS_INVOLVED_IN_MEGAKARYOCYTE_DEVELOPMENT_AND_PLATELET_PRODUCTION.html","REACTOME_FACTORS_INVOLVED_IN_MEGAKARYOCYTE_DEVELOPMENT_AND_PLATELET_PRODUCTION")</f>
        <v>REACTOME_FACTORS_INVOLVED_IN_MEGAKARYOCYTE_DEVELOPMENT_AND_PLATELET_PRODUCTION</v>
      </c>
      <c r="C2823" s="4">
        <v>125</v>
      </c>
      <c r="D2823" s="3">
        <v>1.1512990999999999</v>
      </c>
      <c r="E2823" s="1">
        <v>0.17113096</v>
      </c>
      <c r="F2823" s="2">
        <v>0.35876395999999999</v>
      </c>
    </row>
    <row r="2824" spans="1:6" x14ac:dyDescent="0.25">
      <c r="A2824" t="s">
        <v>8</v>
      </c>
      <c r="B2824" s="5" t="str">
        <f>HYPERLINK("http://www.broadinstitute.org/gsea/msigdb/cards/GOMF_LIPID_KINASE_ACTIVITY.html","GOMF_LIPID_KINASE_ACTIVITY")</f>
        <v>GOMF_LIPID_KINASE_ACTIVITY</v>
      </c>
      <c r="C2824" s="4">
        <v>39</v>
      </c>
      <c r="D2824" s="3">
        <v>1.1511629000000001</v>
      </c>
      <c r="E2824" s="1">
        <v>0.24071081999999999</v>
      </c>
      <c r="F2824" s="2">
        <v>0.35889277000000003</v>
      </c>
    </row>
    <row r="2825" spans="1:6" x14ac:dyDescent="0.25">
      <c r="A2825" t="s">
        <v>6</v>
      </c>
      <c r="B2825" s="5" t="str">
        <f>HYPERLINK("http://www.broadinstitute.org/gsea/msigdb/cards/GOBP_NEGATIVE_REGULATION_OF_CELLULAR_SENESCENCE.html","GOBP_NEGATIVE_REGULATION_OF_CELLULAR_SENESCENCE")</f>
        <v>GOBP_NEGATIVE_REGULATION_OF_CELLULAR_SENESCENCE</v>
      </c>
      <c r="C2825" s="4">
        <v>24</v>
      </c>
      <c r="D2825" s="3">
        <v>1.1511439999999999</v>
      </c>
      <c r="E2825" s="1">
        <v>0.25476601999999998</v>
      </c>
      <c r="F2825" s="2">
        <v>0.3588035</v>
      </c>
    </row>
    <row r="2826" spans="1:6" x14ac:dyDescent="0.25">
      <c r="A2826" t="s">
        <v>6</v>
      </c>
      <c r="B2826" s="5" t="str">
        <f>HYPERLINK("http://www.broadinstitute.org/gsea/msigdb/cards/GOBP_POSITIVE_REGULATION_OF_CATION_TRANSMEMBRANE_TRANSPORT.html","GOBP_POSITIVE_REGULATION_OF_CATION_TRANSMEMBRANE_TRANSPORT")</f>
        <v>GOBP_POSITIVE_REGULATION_OF_CATION_TRANSMEMBRANE_TRANSPORT</v>
      </c>
      <c r="C2826" s="4">
        <v>171</v>
      </c>
      <c r="D2826" s="3">
        <v>1.1508465999999999</v>
      </c>
      <c r="E2826" s="1">
        <v>0.15781923</v>
      </c>
      <c r="F2826" s="2">
        <v>0.35922912000000001</v>
      </c>
    </row>
    <row r="2827" spans="1:6" x14ac:dyDescent="0.25">
      <c r="A2827" t="s">
        <v>8</v>
      </c>
      <c r="B2827" s="5" t="str">
        <f>HYPERLINK("http://www.broadinstitute.org/gsea/msigdb/cards/GOMF_GAMMA_TUBULIN_BINDING.html","GOMF_GAMMA_TUBULIN_BINDING")</f>
        <v>GOMF_GAMMA_TUBULIN_BINDING</v>
      </c>
      <c r="C2827" s="4">
        <v>35</v>
      </c>
      <c r="D2827" s="3">
        <v>1.1508335999999999</v>
      </c>
      <c r="E2827" s="1">
        <v>0.25281805000000002</v>
      </c>
      <c r="F2827" s="2">
        <v>0.35912602999999998</v>
      </c>
    </row>
    <row r="2828" spans="1:6" x14ac:dyDescent="0.25">
      <c r="A2828" t="s">
        <v>6</v>
      </c>
      <c r="B2828" s="5" t="str">
        <f>HYPERLINK("http://www.broadinstitute.org/gsea/msigdb/cards/GOBP_PULMONARY_VALVE_DEVELOPMENT.html","GOBP_PULMONARY_VALVE_DEVELOPMENT")</f>
        <v>GOBP_PULMONARY_VALVE_DEVELOPMENT</v>
      </c>
      <c r="C2828" s="4">
        <v>23</v>
      </c>
      <c r="D2828" s="3">
        <v>1.1506441000000001</v>
      </c>
      <c r="E2828" s="1">
        <v>0.27317881999999999</v>
      </c>
      <c r="F2828" s="2">
        <v>0.35936287</v>
      </c>
    </row>
    <row r="2829" spans="1:6" x14ac:dyDescent="0.25">
      <c r="A2829" t="s">
        <v>6</v>
      </c>
      <c r="B2829" s="5" t="str">
        <f>HYPERLINK("http://www.broadinstitute.org/gsea/msigdb/cards/GOBP_MITOTIC_METAPHASE_CHROMOSOME_ALIGNMENT.html","GOBP_MITOTIC_METAPHASE_CHROMOSOME_ALIGNMENT")</f>
        <v>GOBP_MITOTIC_METAPHASE_CHROMOSOME_ALIGNMENT</v>
      </c>
      <c r="C2829" s="4">
        <v>54</v>
      </c>
      <c r="D2829" s="3">
        <v>1.1505759</v>
      </c>
      <c r="E2829" s="1">
        <v>0.22455573000000001</v>
      </c>
      <c r="F2829" s="2">
        <v>0.35937239999999998</v>
      </c>
    </row>
    <row r="2830" spans="1:6" x14ac:dyDescent="0.25">
      <c r="A2830" t="s">
        <v>6</v>
      </c>
      <c r="B2830" s="5" t="str">
        <f>HYPERLINK("http://www.broadinstitute.org/gsea/msigdb/cards/GOBP_RESPONSE_TO_ACIDIC_PH.html","GOBP_RESPONSE_TO_ACIDIC_PH")</f>
        <v>GOBP_RESPONSE_TO_ACIDIC_PH</v>
      </c>
      <c r="C2830" s="4">
        <v>22</v>
      </c>
      <c r="D2830" s="3">
        <v>1.1505364</v>
      </c>
      <c r="E2830" s="1">
        <v>0.26523888000000001</v>
      </c>
      <c r="F2830" s="2">
        <v>0.35931730000000001</v>
      </c>
    </row>
    <row r="2831" spans="1:6" x14ac:dyDescent="0.25">
      <c r="A2831" t="s">
        <v>6</v>
      </c>
      <c r="B2831" s="5" t="str">
        <f>HYPERLINK("http://www.broadinstitute.org/gsea/msigdb/cards/GOBP_POSITIVE_REGULATION_OF_SYNAPTIC_TRANSMISSION_GLUTAMATERGIC.html","GOBP_POSITIVE_REGULATION_OF_SYNAPTIC_TRANSMISSION_GLUTAMATERGIC")</f>
        <v>GOBP_POSITIVE_REGULATION_OF_SYNAPTIC_TRANSMISSION_GLUTAMATERGIC</v>
      </c>
      <c r="C2831" s="4">
        <v>42</v>
      </c>
      <c r="D2831" s="3">
        <v>1.1501478000000001</v>
      </c>
      <c r="E2831" s="1">
        <v>0.25245901999999998</v>
      </c>
      <c r="F2831" s="2">
        <v>0.35988145999999999</v>
      </c>
    </row>
    <row r="2832" spans="1:6" x14ac:dyDescent="0.25">
      <c r="A2832" t="s">
        <v>6</v>
      </c>
      <c r="B2832" s="5" t="str">
        <f>HYPERLINK("http://www.broadinstitute.org/gsea/msigdb/cards/GOBP_PROTEASOME_MEDIATED_UBIQUITIN_DEPENDENT_PROTEIN_CATABOLIC_PROCESS.html","GOBP_PROTEASOME_MEDIATED_UBIQUITIN_DEPENDENT_PROTEIN_CATABOLIC_PROCESS")</f>
        <v>GOBP_PROTEASOME_MEDIATED_UBIQUITIN_DEPENDENT_PROTEIN_CATABOLIC_PROCESS</v>
      </c>
      <c r="C2832" s="4">
        <v>431</v>
      </c>
      <c r="D2832" s="3">
        <v>1.1500155999999999</v>
      </c>
      <c r="E2832" s="1">
        <v>0.1133758</v>
      </c>
      <c r="F2832" s="2">
        <v>0.36001193999999997</v>
      </c>
    </row>
    <row r="2833" spans="1:6" x14ac:dyDescent="0.25">
      <c r="A2833" t="s">
        <v>6</v>
      </c>
      <c r="B2833" s="5" t="str">
        <f>HYPERLINK("http://www.broadinstitute.org/gsea/msigdb/cards/GOBP_NEGATIVE_REGULATION_OF_APOPTOTIC_SIGNALING_PATHWAY.html","GOBP_NEGATIVE_REGULATION_OF_APOPTOTIC_SIGNALING_PATHWAY")</f>
        <v>GOBP_NEGATIVE_REGULATION_OF_APOPTOTIC_SIGNALING_PATHWAY</v>
      </c>
      <c r="C2833" s="4">
        <v>248</v>
      </c>
      <c r="D2833" s="3">
        <v>1.1498374</v>
      </c>
      <c r="E2833" s="1">
        <v>0.14850136999999999</v>
      </c>
      <c r="F2833" s="2">
        <v>0.36021956999999999</v>
      </c>
    </row>
    <row r="2834" spans="1:6" x14ac:dyDescent="0.25">
      <c r="A2834" t="s">
        <v>6</v>
      </c>
      <c r="B2834" s="5" t="str">
        <f>HYPERLINK("http://www.broadinstitute.org/gsea/msigdb/cards/GOBP_EYE_MORPHOGENESIS.html","GOBP_EYE_MORPHOGENESIS")</f>
        <v>GOBP_EYE_MORPHOGENESIS</v>
      </c>
      <c r="C2834" s="4">
        <v>174</v>
      </c>
      <c r="D2834" s="3">
        <v>1.1497636</v>
      </c>
      <c r="E2834" s="1">
        <v>0.16061452000000001</v>
      </c>
      <c r="F2834" s="2">
        <v>0.36023018000000001</v>
      </c>
    </row>
    <row r="2835" spans="1:6" x14ac:dyDescent="0.25">
      <c r="A2835" t="s">
        <v>5</v>
      </c>
      <c r="B2835" s="5" t="str">
        <f>HYPERLINK("http://www.broadinstitute.org/gsea/msigdb/cards/BIOCARTA_PTEN_PATHWAY.html","BIOCARTA_PTEN_PATHWAY")</f>
        <v>BIOCARTA_PTEN_PATHWAY</v>
      </c>
      <c r="C2835" s="4">
        <v>17</v>
      </c>
      <c r="D2835" s="3">
        <v>1.1494694000000001</v>
      </c>
      <c r="E2835" s="1">
        <v>0.28451177</v>
      </c>
      <c r="F2835" s="2">
        <v>0.36065817</v>
      </c>
    </row>
    <row r="2836" spans="1:6" x14ac:dyDescent="0.25">
      <c r="A2836" t="s">
        <v>6</v>
      </c>
      <c r="B2836" s="5" t="str">
        <f>HYPERLINK("http://www.broadinstitute.org/gsea/msigdb/cards/GOBP_RESPONSE_TO_STEROID_HORMONE.html","GOBP_RESPONSE_TO_STEROID_HORMONE")</f>
        <v>GOBP_RESPONSE_TO_STEROID_HORMONE</v>
      </c>
      <c r="C2836" s="4">
        <v>236</v>
      </c>
      <c r="D2836" s="3">
        <v>1.1493309</v>
      </c>
      <c r="E2836" s="1">
        <v>0.15745856</v>
      </c>
      <c r="F2836" s="2">
        <v>0.36078438000000002</v>
      </c>
    </row>
    <row r="2837" spans="1:6" x14ac:dyDescent="0.25">
      <c r="A2837" t="s">
        <v>6</v>
      </c>
      <c r="B2837" s="5" t="str">
        <f>HYPERLINK("http://www.broadinstitute.org/gsea/msigdb/cards/GOBP_GLYCEROL_ETHER_METABOLIC_PROCESS.html","GOBP_GLYCEROL_ETHER_METABOLIC_PROCESS")</f>
        <v>GOBP_GLYCEROL_ETHER_METABOLIC_PROCESS</v>
      </c>
      <c r="C2837" s="4">
        <v>20</v>
      </c>
      <c r="D2837" s="3">
        <v>1.1492329999999999</v>
      </c>
      <c r="E2837" s="1">
        <v>0.2677966</v>
      </c>
      <c r="F2837" s="2">
        <v>0.36083153000000001</v>
      </c>
    </row>
    <row r="2838" spans="1:6" x14ac:dyDescent="0.25">
      <c r="A2838" t="s">
        <v>6</v>
      </c>
      <c r="B2838" s="5" t="str">
        <f>HYPERLINK("http://www.broadinstitute.org/gsea/msigdb/cards/GOBP_REGULATION_OF_GLUTAMATE_SECRETION.html","GOBP_REGULATION_OF_GLUTAMATE_SECRETION")</f>
        <v>GOBP_REGULATION_OF_GLUTAMATE_SECRETION</v>
      </c>
      <c r="C2838" s="4">
        <v>26</v>
      </c>
      <c r="D2838" s="3">
        <v>1.1489476999999999</v>
      </c>
      <c r="E2838" s="1">
        <v>0.28547296</v>
      </c>
      <c r="F2838" s="2">
        <v>0.36122613999999997</v>
      </c>
    </row>
    <row r="2839" spans="1:6" x14ac:dyDescent="0.25">
      <c r="A2839" t="s">
        <v>10</v>
      </c>
      <c r="B2839" s="5" t="str">
        <f>HYPERLINK("http://www.broadinstitute.org/gsea/msigdb/cards/REACTOME_NUCLEOTIDE_CATABOLISM.html","REACTOME_NUCLEOTIDE_CATABOLISM")</f>
        <v>REACTOME_NUCLEOTIDE_CATABOLISM</v>
      </c>
      <c r="C2839" s="4">
        <v>35</v>
      </c>
      <c r="D2839" s="3">
        <v>1.1488296</v>
      </c>
      <c r="E2839" s="1">
        <v>0.24436742</v>
      </c>
      <c r="F2839" s="2">
        <v>0.36131882999999998</v>
      </c>
    </row>
    <row r="2840" spans="1:6" x14ac:dyDescent="0.25">
      <c r="A2840" t="s">
        <v>6</v>
      </c>
      <c r="B2840" s="5" t="str">
        <f>HYPERLINK("http://www.broadinstitute.org/gsea/msigdb/cards/GOBP_INNER_EAR_RECEPTOR_CELL_DEVELOPMENT.html","GOBP_INNER_EAR_RECEPTOR_CELL_DEVELOPMENT")</f>
        <v>GOBP_INNER_EAR_RECEPTOR_CELL_DEVELOPMENT</v>
      </c>
      <c r="C2840" s="4">
        <v>64</v>
      </c>
      <c r="D2840" s="3">
        <v>1.1487099000000001</v>
      </c>
      <c r="E2840" s="1">
        <v>0.20667727</v>
      </c>
      <c r="F2840" s="2">
        <v>0.36140713000000002</v>
      </c>
    </row>
    <row r="2841" spans="1:6" x14ac:dyDescent="0.25">
      <c r="A2841" t="s">
        <v>6</v>
      </c>
      <c r="B2841" s="5" t="str">
        <f>HYPERLINK("http://www.broadinstitute.org/gsea/msigdb/cards/GOBP_ANIMAL_ORGAN_MATURATION.html","GOBP_ANIMAL_ORGAN_MATURATION")</f>
        <v>GOBP_ANIMAL_ORGAN_MATURATION</v>
      </c>
      <c r="C2841" s="4">
        <v>32</v>
      </c>
      <c r="D2841" s="3">
        <v>1.1482201000000001</v>
      </c>
      <c r="E2841" s="1">
        <v>0.24137929999999999</v>
      </c>
      <c r="F2841" s="2">
        <v>0.36223351999999998</v>
      </c>
    </row>
    <row r="2842" spans="1:6" x14ac:dyDescent="0.25">
      <c r="A2842" t="s">
        <v>6</v>
      </c>
      <c r="B2842" s="5" t="str">
        <f>HYPERLINK("http://www.broadinstitute.org/gsea/msigdb/cards/GOBP_NEGATIVE_REGULATION_OF_FAT_CELL_DIFFERENTIATION.html","GOBP_NEGATIVE_REGULATION_OF_FAT_CELL_DIFFERENTIATION")</f>
        <v>GOBP_NEGATIVE_REGULATION_OF_FAT_CELL_DIFFERENTIATION</v>
      </c>
      <c r="C2842" s="4">
        <v>59</v>
      </c>
      <c r="D2842" s="3">
        <v>1.1480322000000001</v>
      </c>
      <c r="E2842" s="1">
        <v>0.25084746000000002</v>
      </c>
      <c r="F2842" s="2">
        <v>0.36244628000000001</v>
      </c>
    </row>
    <row r="2843" spans="1:6" x14ac:dyDescent="0.25">
      <c r="A2843" t="s">
        <v>6</v>
      </c>
      <c r="B2843" s="5" t="str">
        <f>HYPERLINK("http://www.broadinstitute.org/gsea/msigdb/cards/GOBP_ASYMMETRIC_CELL_DIVISION.html","GOBP_ASYMMETRIC_CELL_DIVISION")</f>
        <v>GOBP_ASYMMETRIC_CELL_DIVISION</v>
      </c>
      <c r="C2843" s="4">
        <v>20</v>
      </c>
      <c r="D2843" s="3">
        <v>1.1480303999999999</v>
      </c>
      <c r="E2843" s="1">
        <v>0.28249568000000003</v>
      </c>
      <c r="F2843" s="2">
        <v>0.36232096000000003</v>
      </c>
    </row>
    <row r="2844" spans="1:6" x14ac:dyDescent="0.25">
      <c r="A2844" t="s">
        <v>6</v>
      </c>
      <c r="B2844" s="5" t="str">
        <f>HYPERLINK("http://www.broadinstitute.org/gsea/msigdb/cards/GOBP_NUCLEUS_LOCALIZATION.html","GOBP_NUCLEUS_LOCALIZATION")</f>
        <v>GOBP_NUCLEUS_LOCALIZATION</v>
      </c>
      <c r="C2844" s="4">
        <v>44</v>
      </c>
      <c r="D2844" s="3">
        <v>1.1479101</v>
      </c>
      <c r="E2844" s="1">
        <v>0.24077045999999999</v>
      </c>
      <c r="F2844" s="2">
        <v>0.36241505000000002</v>
      </c>
    </row>
    <row r="2845" spans="1:6" x14ac:dyDescent="0.25">
      <c r="A2845" t="s">
        <v>6</v>
      </c>
      <c r="B2845" s="5" t="str">
        <f>HYPERLINK("http://www.broadinstitute.org/gsea/msigdb/cards/GOBP_NEGATIVE_REGULATION_OF_INTERFERON_BETA_PRODUCTION.html","GOBP_NEGATIVE_REGULATION_OF_INTERFERON_BETA_PRODUCTION")</f>
        <v>GOBP_NEGATIVE_REGULATION_OF_INTERFERON_BETA_PRODUCTION</v>
      </c>
      <c r="C2845" s="4">
        <v>16</v>
      </c>
      <c r="D2845" s="3">
        <v>1.1469946</v>
      </c>
      <c r="E2845" s="1">
        <v>0.27189782000000001</v>
      </c>
      <c r="F2845" s="2">
        <v>0.36399083999999998</v>
      </c>
    </row>
    <row r="2846" spans="1:6" x14ac:dyDescent="0.25">
      <c r="A2846" t="s">
        <v>6</v>
      </c>
      <c r="B2846" s="5" t="str">
        <f>HYPERLINK("http://www.broadinstitute.org/gsea/msigdb/cards/GOBP_NEGATIVE_REGULATION_OF_OSSIFICATION.html","GOBP_NEGATIVE_REGULATION_OF_OSSIFICATION")</f>
        <v>GOBP_NEGATIVE_REGULATION_OF_OSSIFICATION</v>
      </c>
      <c r="C2846" s="4">
        <v>44</v>
      </c>
      <c r="D2846" s="3">
        <v>1.1469674000000001</v>
      </c>
      <c r="E2846" s="1">
        <v>0.23366012999999999</v>
      </c>
      <c r="F2846" s="2">
        <v>0.36390734000000002</v>
      </c>
    </row>
    <row r="2847" spans="1:6" x14ac:dyDescent="0.25">
      <c r="A2847" t="s">
        <v>6</v>
      </c>
      <c r="B2847" s="5" t="str">
        <f>HYPERLINK("http://www.broadinstitute.org/gsea/msigdb/cards/GOBP_AMYLOID_BETA_METABOLIC_PROCESS.html","GOBP_AMYLOID_BETA_METABOLIC_PROCESS")</f>
        <v>GOBP_AMYLOID_BETA_METABOLIC_PROCESS</v>
      </c>
      <c r="C2847" s="4">
        <v>56</v>
      </c>
      <c r="D2847" s="3">
        <v>1.1467571999999999</v>
      </c>
      <c r="E2847" s="1">
        <v>0.22632422999999999</v>
      </c>
      <c r="F2847" s="2">
        <v>0.36416525</v>
      </c>
    </row>
    <row r="2848" spans="1:6" x14ac:dyDescent="0.25">
      <c r="A2848" t="s">
        <v>6</v>
      </c>
      <c r="B2848" s="5" t="str">
        <f>HYPERLINK("http://www.broadinstitute.org/gsea/msigdb/cards/GOBP_POSITIVE_REGULATION_OF_NEUROGENESIS.html","GOBP_POSITIVE_REGULATION_OF_NEUROGENESIS")</f>
        <v>GOBP_POSITIVE_REGULATION_OF_NEUROGENESIS</v>
      </c>
      <c r="C2848" s="4">
        <v>315</v>
      </c>
      <c r="D2848" s="3">
        <v>1.1467297000000001</v>
      </c>
      <c r="E2848" s="1">
        <v>0.126498</v>
      </c>
      <c r="F2848" s="2">
        <v>0.36409026</v>
      </c>
    </row>
    <row r="2849" spans="1:6" x14ac:dyDescent="0.25">
      <c r="A2849" t="s">
        <v>10</v>
      </c>
      <c r="B2849" s="5" t="str">
        <f>HYPERLINK("http://www.broadinstitute.org/gsea/msigdb/cards/REACTOME_BIOSYNTHESIS_OF_THE_N_GLYCAN_PRECURSOR_DOLICHOL_LIPID_LINKED_OLIGOSACCHARIDE_LLO_AND_TRANSFER_TO_A_NASCENT_PROTEIN.html","REACTOME_BIOSYNTHESIS_OF_THE_N_GLYCAN_PRECURSOR_DOLICHOL_LIPID_LINKED_OLIGOSACCHARIDE_LLO_AND_TRANSFER_TO_A_NASCENT_PROTEIN")</f>
        <v>REACTOME_BIOSYNTHESIS_OF_THE_N_GLYCAN_PRECURSOR_DOLICHOL_LIPID_LINKED_OLIGOSACCHARIDE_LLO_AND_TRANSFER_TO_A_NASCENT_PROTEIN</v>
      </c>
      <c r="C2849" s="4">
        <v>70</v>
      </c>
      <c r="D2849" s="3">
        <v>1.1461178000000001</v>
      </c>
      <c r="E2849" s="1">
        <v>0.21978022</v>
      </c>
      <c r="F2849" s="2">
        <v>0.36512673000000001</v>
      </c>
    </row>
    <row r="2850" spans="1:6" x14ac:dyDescent="0.25">
      <c r="A2850" t="s">
        <v>6</v>
      </c>
      <c r="B2850" s="5" t="str">
        <f>HYPERLINK("http://www.broadinstitute.org/gsea/msigdb/cards/GOBP_REGULATION_OF_ESTABLISHMENT_OR_MAINTENANCE_OF_CELL_POLARITY.html","GOBP_REGULATION_OF_ESTABLISHMENT_OR_MAINTENANCE_OF_CELL_POLARITY")</f>
        <v>GOBP_REGULATION_OF_ESTABLISHMENT_OR_MAINTENANCE_OF_CELL_POLARITY</v>
      </c>
      <c r="C2850" s="4">
        <v>27</v>
      </c>
      <c r="D2850" s="3">
        <v>1.1459162000000001</v>
      </c>
      <c r="E2850" s="1">
        <v>0.27768313999999999</v>
      </c>
      <c r="F2850" s="2">
        <v>0.36538704999999999</v>
      </c>
    </row>
    <row r="2851" spans="1:6" x14ac:dyDescent="0.25">
      <c r="A2851" t="s">
        <v>6</v>
      </c>
      <c r="B2851" s="5" t="str">
        <f>HYPERLINK("http://www.broadinstitute.org/gsea/msigdb/cards/GOBP_ADHERENS_JUNCTION_ORGANIZATION.html","GOBP_ADHERENS_JUNCTION_ORGANIZATION")</f>
        <v>GOBP_ADHERENS_JUNCTION_ORGANIZATION</v>
      </c>
      <c r="C2851" s="4">
        <v>58</v>
      </c>
      <c r="D2851" s="3">
        <v>1.145804</v>
      </c>
      <c r="E2851" s="1">
        <v>0.22539682999999999</v>
      </c>
      <c r="F2851" s="2">
        <v>0.36547457999999999</v>
      </c>
    </row>
    <row r="2852" spans="1:6" x14ac:dyDescent="0.25">
      <c r="A2852" t="s">
        <v>6</v>
      </c>
      <c r="B2852" s="5" t="str">
        <f>HYPERLINK("http://www.broadinstitute.org/gsea/msigdb/cards/GOBP_POSITIVE_REGULATION_OF_INTRACELLULAR_TRANSPORT.html","GOBP_POSITIVE_REGULATION_OF_INTRACELLULAR_TRANSPORT")</f>
        <v>GOBP_POSITIVE_REGULATION_OF_INTRACELLULAR_TRANSPORT</v>
      </c>
      <c r="C2852" s="4">
        <v>188</v>
      </c>
      <c r="D2852" s="3">
        <v>1.1453241999999999</v>
      </c>
      <c r="E2852" s="1">
        <v>0.17270194999999999</v>
      </c>
      <c r="F2852" s="2">
        <v>0.36626755999999999</v>
      </c>
    </row>
    <row r="2853" spans="1:6" x14ac:dyDescent="0.25">
      <c r="A2853" t="s">
        <v>6</v>
      </c>
      <c r="B2853" s="5" t="str">
        <f>HYPERLINK("http://www.broadinstitute.org/gsea/msigdb/cards/GOBP_NEGATIVE_REGULATION_OF_PROTEIN_UBIQUITINATION.html","GOBP_NEGATIVE_REGULATION_OF_PROTEIN_UBIQUITINATION")</f>
        <v>GOBP_NEGATIVE_REGULATION_OF_PROTEIN_UBIQUITINATION</v>
      </c>
      <c r="C2853" s="4">
        <v>79</v>
      </c>
      <c r="D2853" s="3">
        <v>1.1451241000000001</v>
      </c>
      <c r="E2853" s="1">
        <v>0.22429905999999999</v>
      </c>
      <c r="F2853" s="2">
        <v>0.36652449999999998</v>
      </c>
    </row>
    <row r="2854" spans="1:6" x14ac:dyDescent="0.25">
      <c r="A2854" t="s">
        <v>6</v>
      </c>
      <c r="B2854" s="5" t="str">
        <f>HYPERLINK("http://www.broadinstitute.org/gsea/msigdb/cards/GOBP_POSITIVE_REGULATION_OF_STEROID_BIOSYNTHETIC_PROCESS.html","GOBP_POSITIVE_REGULATION_OF_STEROID_BIOSYNTHETIC_PROCESS")</f>
        <v>GOBP_POSITIVE_REGULATION_OF_STEROID_BIOSYNTHETIC_PROCESS</v>
      </c>
      <c r="C2854" s="4">
        <v>27</v>
      </c>
      <c r="D2854" s="3">
        <v>1.1444931</v>
      </c>
      <c r="E2854" s="1">
        <v>0.26570050000000001</v>
      </c>
      <c r="F2854" s="2">
        <v>0.36761319999999997</v>
      </c>
    </row>
    <row r="2855" spans="1:6" x14ac:dyDescent="0.25">
      <c r="A2855" t="s">
        <v>8</v>
      </c>
      <c r="B2855" s="5" t="str">
        <f>HYPERLINK("http://www.broadinstitute.org/gsea/msigdb/cards/GOMF_PURINE_NUCLEOTIDE_TRANSMEMBRANE_TRANSPORTER_ACTIVITY.html","GOMF_PURINE_NUCLEOTIDE_TRANSMEMBRANE_TRANSPORTER_ACTIVITY")</f>
        <v>GOMF_PURINE_NUCLEOTIDE_TRANSMEMBRANE_TRANSPORTER_ACTIVITY</v>
      </c>
      <c r="C2855" s="4">
        <v>26</v>
      </c>
      <c r="D2855" s="3">
        <v>1.1442379</v>
      </c>
      <c r="E2855" s="1">
        <v>0.25535419999999998</v>
      </c>
      <c r="F2855" s="2">
        <v>0.36799110000000002</v>
      </c>
    </row>
    <row r="2856" spans="1:6" x14ac:dyDescent="0.25">
      <c r="A2856" t="s">
        <v>10</v>
      </c>
      <c r="B2856" s="5" t="str">
        <f>HYPERLINK("http://www.broadinstitute.org/gsea/msigdb/cards/REACTOME_MAPK_FAMILY_SIGNALING_CASCADES.html","REACTOME_MAPK_FAMILY_SIGNALING_CASCADES")</f>
        <v>REACTOME_MAPK_FAMILY_SIGNALING_CASCADES</v>
      </c>
      <c r="C2856" s="4">
        <v>290</v>
      </c>
      <c r="D2856" s="3">
        <v>1.1441958999999999</v>
      </c>
      <c r="E2856" s="1">
        <v>0.14733969999999999</v>
      </c>
      <c r="F2856" s="2">
        <v>0.36794951999999997</v>
      </c>
    </row>
    <row r="2857" spans="1:6" x14ac:dyDescent="0.25">
      <c r="A2857" t="s">
        <v>6</v>
      </c>
      <c r="B2857" s="5" t="str">
        <f>HYPERLINK("http://www.broadinstitute.org/gsea/msigdb/cards/GOBP_PEPTIDYL_PROLINE_MODIFICATION.html","GOBP_PEPTIDYL_PROLINE_MODIFICATION")</f>
        <v>GOBP_PEPTIDYL_PROLINE_MODIFICATION</v>
      </c>
      <c r="C2857" s="4">
        <v>40</v>
      </c>
      <c r="D2857" s="3">
        <v>1.1436169</v>
      </c>
      <c r="E2857" s="1">
        <v>0.2533784</v>
      </c>
      <c r="F2857" s="2">
        <v>0.36891299999999999</v>
      </c>
    </row>
    <row r="2858" spans="1:6" x14ac:dyDescent="0.25">
      <c r="A2858" t="s">
        <v>10</v>
      </c>
      <c r="B2858" s="5" t="str">
        <f>HYPERLINK("http://www.broadinstitute.org/gsea/msigdb/cards/REACTOME_SIGNALING_BY_NOTCH3.html","REACTOME_SIGNALING_BY_NOTCH3")</f>
        <v>REACTOME_SIGNALING_BY_NOTCH3</v>
      </c>
      <c r="C2858" s="4">
        <v>19</v>
      </c>
      <c r="D2858" s="3">
        <v>1.1434894</v>
      </c>
      <c r="E2858" s="1">
        <v>0.29122806000000001</v>
      </c>
      <c r="F2858" s="2">
        <v>0.36902089999999999</v>
      </c>
    </row>
    <row r="2859" spans="1:6" x14ac:dyDescent="0.25">
      <c r="A2859" t="s">
        <v>8</v>
      </c>
      <c r="B2859" s="5" t="str">
        <f>HYPERLINK("http://www.broadinstitute.org/gsea/msigdb/cards/GOMF_PROTEIN_LIPID_COMPLEX_BINDING.html","GOMF_PROTEIN_LIPID_COMPLEX_BINDING")</f>
        <v>GOMF_PROTEIN_LIPID_COMPLEX_BINDING</v>
      </c>
      <c r="C2859" s="4">
        <v>31</v>
      </c>
      <c r="D2859" s="3">
        <v>1.1434280000000001</v>
      </c>
      <c r="E2859" s="1">
        <v>0.2687813</v>
      </c>
      <c r="F2859" s="2">
        <v>0.36902225</v>
      </c>
    </row>
    <row r="2860" spans="1:6" x14ac:dyDescent="0.25">
      <c r="A2860" t="s">
        <v>10</v>
      </c>
      <c r="B2860" s="5" t="str">
        <f>HYPERLINK("http://www.broadinstitute.org/gsea/msigdb/cards/REACTOME_PLASMA_LIPOPROTEIN_ASSEMBLY.html","REACTOME_PLASMA_LIPOPROTEIN_ASSEMBLY")</f>
        <v>REACTOME_PLASMA_LIPOPROTEIN_ASSEMBLY</v>
      </c>
      <c r="C2860" s="4">
        <v>16</v>
      </c>
      <c r="D2860" s="3">
        <v>1.1428524</v>
      </c>
      <c r="E2860" s="1">
        <v>0.30139371999999998</v>
      </c>
      <c r="F2860" s="2">
        <v>0.37002170000000001</v>
      </c>
    </row>
    <row r="2861" spans="1:6" x14ac:dyDescent="0.25">
      <c r="A2861" t="s">
        <v>6</v>
      </c>
      <c r="B2861" s="5" t="str">
        <f>HYPERLINK("http://www.broadinstitute.org/gsea/msigdb/cards/GOBP_PHOSPHATIDYLCHOLINE_METABOLIC_PROCESS.html","GOBP_PHOSPHATIDYLCHOLINE_METABOLIC_PROCESS")</f>
        <v>GOBP_PHOSPHATIDYLCHOLINE_METABOLIC_PROCESS</v>
      </c>
      <c r="C2861" s="4">
        <v>60</v>
      </c>
      <c r="D2861" s="3">
        <v>1.1428376</v>
      </c>
      <c r="E2861" s="1">
        <v>0.23307087000000001</v>
      </c>
      <c r="F2861" s="2">
        <v>0.36991906000000002</v>
      </c>
    </row>
    <row r="2862" spans="1:6" x14ac:dyDescent="0.25">
      <c r="A2862" t="s">
        <v>6</v>
      </c>
      <c r="B2862" s="5" t="str">
        <f>HYPERLINK("http://www.broadinstitute.org/gsea/msigdb/cards/GOBP_NEGATIVE_REGULATION_OF_OSTEOBLAST_DIFFERENTIATION.html","GOBP_NEGATIVE_REGULATION_OF_OSTEOBLAST_DIFFERENTIATION")</f>
        <v>GOBP_NEGATIVE_REGULATION_OF_OSTEOBLAST_DIFFERENTIATION</v>
      </c>
      <c r="C2862" s="4">
        <v>56</v>
      </c>
      <c r="D2862" s="3">
        <v>1.1423209000000001</v>
      </c>
      <c r="E2862" s="1">
        <v>0.23482428</v>
      </c>
      <c r="F2862" s="2">
        <v>0.37079774999999998</v>
      </c>
    </row>
    <row r="2863" spans="1:6" x14ac:dyDescent="0.25">
      <c r="A2863" t="s">
        <v>6</v>
      </c>
      <c r="B2863" s="5" t="str">
        <f>HYPERLINK("http://www.broadinstitute.org/gsea/msigdb/cards/GOBP_RESPONSE_TO_DOPAMINE.html","GOBP_RESPONSE_TO_DOPAMINE")</f>
        <v>GOBP_RESPONSE_TO_DOPAMINE</v>
      </c>
      <c r="C2863" s="4">
        <v>52</v>
      </c>
      <c r="D2863" s="3">
        <v>1.1423037</v>
      </c>
      <c r="E2863" s="1">
        <v>0.24724409</v>
      </c>
      <c r="F2863" s="2">
        <v>0.37069760000000002</v>
      </c>
    </row>
    <row r="2864" spans="1:6" x14ac:dyDescent="0.25">
      <c r="A2864" t="s">
        <v>8</v>
      </c>
      <c r="B2864" s="5" t="str">
        <f>HYPERLINK("http://www.broadinstitute.org/gsea/msigdb/cards/GOMF_NUCLEAR_IMPORT_SIGNAL_RECEPTOR_ACTIVITY.html","GOMF_NUCLEAR_IMPORT_SIGNAL_RECEPTOR_ACTIVITY")</f>
        <v>GOMF_NUCLEAR_IMPORT_SIGNAL_RECEPTOR_ACTIVITY</v>
      </c>
      <c r="C2864" s="4">
        <v>18</v>
      </c>
      <c r="D2864" s="3">
        <v>1.1420755</v>
      </c>
      <c r="E2864" s="1">
        <v>0.29280820000000002</v>
      </c>
      <c r="F2864" s="2">
        <v>0.37101293000000002</v>
      </c>
    </row>
    <row r="2865" spans="1:6" x14ac:dyDescent="0.25">
      <c r="A2865" t="s">
        <v>7</v>
      </c>
      <c r="B2865" s="5" t="str">
        <f>HYPERLINK("http://www.broadinstitute.org/gsea/msigdb/cards/GOCC_POSTSYNAPTIC_CYTOSOL.html","GOCC_POSTSYNAPTIC_CYTOSOL")</f>
        <v>GOCC_POSTSYNAPTIC_CYTOSOL</v>
      </c>
      <c r="C2865" s="4">
        <v>28</v>
      </c>
      <c r="D2865" s="3">
        <v>1.1415227999999999</v>
      </c>
      <c r="E2865" s="1">
        <v>0.27226892000000003</v>
      </c>
      <c r="F2865" s="2">
        <v>0.37192604000000001</v>
      </c>
    </row>
    <row r="2866" spans="1:6" x14ac:dyDescent="0.25">
      <c r="A2866" t="s">
        <v>5</v>
      </c>
      <c r="B2866" s="5" t="str">
        <f>HYPERLINK("http://www.broadinstitute.org/gsea/msigdb/cards/BIOCARTA_LONGEVITY_PATHWAY.html","BIOCARTA_LONGEVITY_PATHWAY")</f>
        <v>BIOCARTA_LONGEVITY_PATHWAY</v>
      </c>
      <c r="C2866" s="4">
        <v>15</v>
      </c>
      <c r="D2866" s="3">
        <v>1.1413295999999999</v>
      </c>
      <c r="E2866" s="1">
        <v>0.2909699</v>
      </c>
      <c r="F2866" s="2">
        <v>0.37217521999999997</v>
      </c>
    </row>
    <row r="2867" spans="1:6" x14ac:dyDescent="0.25">
      <c r="A2867" t="s">
        <v>6</v>
      </c>
      <c r="B2867" s="5" t="str">
        <f>HYPERLINK("http://www.broadinstitute.org/gsea/msigdb/cards/GOBP_PYRIDINE_CONTAINING_COMPOUND_METABOLIC_PROCESS.html","GOBP_PYRIDINE_CONTAINING_COMPOUND_METABOLIC_PROCESS")</f>
        <v>GOBP_PYRIDINE_CONTAINING_COMPOUND_METABOLIC_PROCESS</v>
      </c>
      <c r="C2867" s="4">
        <v>91</v>
      </c>
      <c r="D2867" s="3">
        <v>1.1410317000000001</v>
      </c>
      <c r="E2867" s="1">
        <v>0.21658986999999999</v>
      </c>
      <c r="F2867" s="2">
        <v>0.37262097</v>
      </c>
    </row>
    <row r="2868" spans="1:6" x14ac:dyDescent="0.25">
      <c r="A2868" t="s">
        <v>6</v>
      </c>
      <c r="B2868" s="5" t="str">
        <f>HYPERLINK("http://www.broadinstitute.org/gsea/msigdb/cards/GOBP_NEGATIVE_REGULATION_OF_INFLAMMATORY_RESPONSE_TO_ANTIGENIC_STIMULUS.html","GOBP_NEGATIVE_REGULATION_OF_INFLAMMATORY_RESPONSE_TO_ANTIGENIC_STIMULUS")</f>
        <v>GOBP_NEGATIVE_REGULATION_OF_INFLAMMATORY_RESPONSE_TO_ANTIGENIC_STIMULUS</v>
      </c>
      <c r="C2868" s="4">
        <v>18</v>
      </c>
      <c r="D2868" s="3">
        <v>1.1409522000000001</v>
      </c>
      <c r="E2868" s="1">
        <v>0.28227194999999999</v>
      </c>
      <c r="F2868" s="2">
        <v>0.37263462000000003</v>
      </c>
    </row>
    <row r="2869" spans="1:6" x14ac:dyDescent="0.25">
      <c r="A2869" t="s">
        <v>6</v>
      </c>
      <c r="B2869" s="5" t="str">
        <f>HYPERLINK("http://www.broadinstitute.org/gsea/msigdb/cards/GOBP_REGULATION_OF_POSTSYNAPTIC_DENSITY_ORGANIZATION.html","GOBP_REGULATION_OF_POSTSYNAPTIC_DENSITY_ORGANIZATION")</f>
        <v>GOBP_REGULATION_OF_POSTSYNAPTIC_DENSITY_ORGANIZATION</v>
      </c>
      <c r="C2869" s="4">
        <v>19</v>
      </c>
      <c r="D2869" s="3">
        <v>1.1409037</v>
      </c>
      <c r="E2869" s="1">
        <v>0.28125</v>
      </c>
      <c r="F2869" s="2">
        <v>0.37260670000000001</v>
      </c>
    </row>
    <row r="2870" spans="1:6" x14ac:dyDescent="0.25">
      <c r="A2870" t="s">
        <v>6</v>
      </c>
      <c r="B2870" s="5" t="str">
        <f>HYPERLINK("http://www.broadinstitute.org/gsea/msigdb/cards/GOBP_C21_STEROID_HORMONE_BIOSYNTHETIC_PROCESS.html","GOBP_C21_STEROID_HORMONE_BIOSYNTHETIC_PROCESS")</f>
        <v>GOBP_C21_STEROID_HORMONE_BIOSYNTHETIC_PROCESS</v>
      </c>
      <c r="C2870" s="4">
        <v>18</v>
      </c>
      <c r="D2870" s="3">
        <v>1.1405243</v>
      </c>
      <c r="E2870" s="1">
        <v>0.27127659999999998</v>
      </c>
      <c r="F2870" s="2">
        <v>0.37322290000000002</v>
      </c>
    </row>
    <row r="2871" spans="1:6" x14ac:dyDescent="0.25">
      <c r="A2871" t="s">
        <v>6</v>
      </c>
      <c r="B2871" s="5" t="str">
        <f>HYPERLINK("http://www.broadinstitute.org/gsea/msigdb/cards/GOBP_GLUTAMATE_METABOLIC_PROCESS.html","GOBP_GLUTAMATE_METABOLIC_PROCESS")</f>
        <v>GOBP_GLUTAMATE_METABOLIC_PROCESS</v>
      </c>
      <c r="C2871" s="4">
        <v>31</v>
      </c>
      <c r="D2871" s="3">
        <v>1.1403254</v>
      </c>
      <c r="E2871" s="1">
        <v>0.25859246000000002</v>
      </c>
      <c r="F2871" s="2">
        <v>0.37347217999999999</v>
      </c>
    </row>
    <row r="2872" spans="1:6" x14ac:dyDescent="0.25">
      <c r="A2872" t="s">
        <v>6</v>
      </c>
      <c r="B2872" s="5" t="str">
        <f>HYPERLINK("http://www.broadinstitute.org/gsea/msigdb/cards/GOBP_POSITIVE_REGULATION_OF_CARBOHYDRATE_METABOLIC_PROCESS.html","GOBP_POSITIVE_REGULATION_OF_CARBOHYDRATE_METABOLIC_PROCESS")</f>
        <v>GOBP_POSITIVE_REGULATION_OF_CARBOHYDRATE_METABOLIC_PROCESS</v>
      </c>
      <c r="C2872" s="4">
        <v>90</v>
      </c>
      <c r="D2872" s="3">
        <v>1.1401498000000001</v>
      </c>
      <c r="E2872" s="1">
        <v>0.21617418999999999</v>
      </c>
      <c r="F2872" s="2">
        <v>0.3736855</v>
      </c>
    </row>
    <row r="2873" spans="1:6" x14ac:dyDescent="0.25">
      <c r="A2873" t="s">
        <v>6</v>
      </c>
      <c r="B2873" s="5" t="str">
        <f>HYPERLINK("http://www.broadinstitute.org/gsea/msigdb/cards/GOBP_CELLULAR_RESPONSE_TO_INORGANIC_SUBSTANCE.html","GOBP_CELLULAR_RESPONSE_TO_INORGANIC_SUBSTANCE")</f>
        <v>GOBP_CELLULAR_RESPONSE_TO_INORGANIC_SUBSTANCE</v>
      </c>
      <c r="C2873" s="4">
        <v>205</v>
      </c>
      <c r="D2873" s="3">
        <v>1.1400489</v>
      </c>
      <c r="E2873" s="1">
        <v>0.16874136000000001</v>
      </c>
      <c r="F2873" s="2">
        <v>0.37375465000000002</v>
      </c>
    </row>
    <row r="2874" spans="1:6" x14ac:dyDescent="0.25">
      <c r="A2874" t="s">
        <v>6</v>
      </c>
      <c r="B2874" s="5" t="str">
        <f>HYPERLINK("http://www.broadinstitute.org/gsea/msigdb/cards/GOBP_DOPAMINE_METABOLIC_PROCESS.html","GOBP_DOPAMINE_METABOLIC_PROCESS")</f>
        <v>GOBP_DOPAMINE_METABOLIC_PROCESS</v>
      </c>
      <c r="C2874" s="4">
        <v>47</v>
      </c>
      <c r="D2874" s="3">
        <v>1.1395055000000001</v>
      </c>
      <c r="E2874" s="1">
        <v>0.24635333000000001</v>
      </c>
      <c r="F2874" s="2">
        <v>0.37469472999999998</v>
      </c>
    </row>
    <row r="2875" spans="1:6" x14ac:dyDescent="0.25">
      <c r="A2875" t="s">
        <v>6</v>
      </c>
      <c r="B2875" s="5" t="str">
        <f>HYPERLINK("http://www.broadinstitute.org/gsea/msigdb/cards/GOBP_REGULATION_OF_LOW_DENSITY_LIPOPROTEIN_PARTICLE_CLEARANCE.html","GOBP_REGULATION_OF_LOW_DENSITY_LIPOPROTEIN_PARTICLE_CLEARANCE")</f>
        <v>GOBP_REGULATION_OF_LOW_DENSITY_LIPOPROTEIN_PARTICLE_CLEARANCE</v>
      </c>
      <c r="C2875" s="4">
        <v>15</v>
      </c>
      <c r="D2875" s="3">
        <v>1.1391532</v>
      </c>
      <c r="E2875" s="1">
        <v>0.30017152000000002</v>
      </c>
      <c r="F2875" s="2">
        <v>0.37523933999999998</v>
      </c>
    </row>
    <row r="2876" spans="1:6" x14ac:dyDescent="0.25">
      <c r="A2876" t="s">
        <v>6</v>
      </c>
      <c r="B2876" s="5" t="str">
        <f>HYPERLINK("http://www.broadinstitute.org/gsea/msigdb/cards/GOBP_REGULATION_OF_DIGESTIVE_SYSTEM_PROCESS.html","GOBP_REGULATION_OF_DIGESTIVE_SYSTEM_PROCESS")</f>
        <v>GOBP_REGULATION_OF_DIGESTIVE_SYSTEM_PROCESS</v>
      </c>
      <c r="C2876" s="4">
        <v>45</v>
      </c>
      <c r="D2876" s="3">
        <v>1.1389189</v>
      </c>
      <c r="E2876" s="1">
        <v>0.26166666</v>
      </c>
      <c r="F2876" s="2">
        <v>0.37556793999999999</v>
      </c>
    </row>
    <row r="2877" spans="1:6" x14ac:dyDescent="0.25">
      <c r="A2877" t="s">
        <v>5</v>
      </c>
      <c r="B2877" s="5" t="str">
        <f>HYPERLINK("http://www.broadinstitute.org/gsea/msigdb/cards/BIOCARTA_IL7_PATHWAY.html","BIOCARTA_IL7_PATHWAY")</f>
        <v>BIOCARTA_IL7_PATHWAY</v>
      </c>
      <c r="C2877" s="4">
        <v>16</v>
      </c>
      <c r="D2877" s="3">
        <v>1.1387891999999999</v>
      </c>
      <c r="E2877" s="1">
        <v>0.28000000000000003</v>
      </c>
      <c r="F2877" s="2">
        <v>0.37569532</v>
      </c>
    </row>
    <row r="2878" spans="1:6" x14ac:dyDescent="0.25">
      <c r="A2878" t="s">
        <v>10</v>
      </c>
      <c r="B2878" s="5" t="str">
        <f>HYPERLINK("http://www.broadinstitute.org/gsea/msigdb/cards/REACTOME_TGF_BETA_RECEPTOR_SIGNALING_IN_EMT_EPITHELIAL_TO_MESENCHYMAL_TRANSITION.html","REACTOME_TGF_BETA_RECEPTOR_SIGNALING_IN_EMT_EPITHELIAL_TO_MESENCHYMAL_TRANSITION")</f>
        <v>REACTOME_TGF_BETA_RECEPTOR_SIGNALING_IN_EMT_EPITHELIAL_TO_MESENCHYMAL_TRANSITION</v>
      </c>
      <c r="C2878" s="4">
        <v>15</v>
      </c>
      <c r="D2878" s="3">
        <v>1.1387731999999999</v>
      </c>
      <c r="E2878" s="1">
        <v>0.27614379999999999</v>
      </c>
      <c r="F2878" s="2">
        <v>0.37558987999999999</v>
      </c>
    </row>
    <row r="2879" spans="1:6" x14ac:dyDescent="0.25">
      <c r="A2879" t="s">
        <v>6</v>
      </c>
      <c r="B2879" s="5" t="str">
        <f>HYPERLINK("http://www.broadinstitute.org/gsea/msigdb/cards/GOBP_VESICLE_CYTOSKELETAL_TRAFFICKING.html","GOBP_VESICLE_CYTOSKELETAL_TRAFFICKING")</f>
        <v>GOBP_VESICLE_CYTOSKELETAL_TRAFFICKING</v>
      </c>
      <c r="C2879" s="4">
        <v>72</v>
      </c>
      <c r="D2879" s="3">
        <v>1.1386206000000001</v>
      </c>
      <c r="E2879" s="1">
        <v>0.24386252</v>
      </c>
      <c r="F2879" s="2">
        <v>0.37577480000000002</v>
      </c>
    </row>
    <row r="2880" spans="1:6" x14ac:dyDescent="0.25">
      <c r="A2880" t="s">
        <v>6</v>
      </c>
      <c r="B2880" s="5" t="str">
        <f>HYPERLINK("http://www.broadinstitute.org/gsea/msigdb/cards/GOBP_REGULATION_OF_RECEPTOR_LOCALIZATION_TO_SYNAPSE.html","GOBP_REGULATION_OF_RECEPTOR_LOCALIZATION_TO_SYNAPSE")</f>
        <v>GOBP_REGULATION_OF_RECEPTOR_LOCALIZATION_TO_SYNAPSE</v>
      </c>
      <c r="C2880" s="4">
        <v>32</v>
      </c>
      <c r="D2880" s="3">
        <v>1.138463</v>
      </c>
      <c r="E2880" s="1">
        <v>0.2596154</v>
      </c>
      <c r="F2880" s="2">
        <v>0.37593976000000001</v>
      </c>
    </row>
    <row r="2881" spans="1:6" x14ac:dyDescent="0.25">
      <c r="A2881" t="s">
        <v>6</v>
      </c>
      <c r="B2881" s="5" t="str">
        <f>HYPERLINK("http://www.broadinstitute.org/gsea/msigdb/cards/GOBP_LOW_DENSITY_LIPOPROTEIN_PARTICLE_CLEARANCE.html","GOBP_LOW_DENSITY_LIPOPROTEIN_PARTICLE_CLEARANCE")</f>
        <v>GOBP_LOW_DENSITY_LIPOPROTEIN_PARTICLE_CLEARANCE</v>
      </c>
      <c r="C2881" s="4">
        <v>24</v>
      </c>
      <c r="D2881" s="3">
        <v>1.1377872</v>
      </c>
      <c r="E2881" s="1">
        <v>0.25671142000000002</v>
      </c>
      <c r="F2881" s="2">
        <v>0.37708061999999998</v>
      </c>
    </row>
    <row r="2882" spans="1:6" x14ac:dyDescent="0.25">
      <c r="A2882" t="s">
        <v>8</v>
      </c>
      <c r="B2882" s="5" t="str">
        <f>HYPERLINK("http://www.broadinstitute.org/gsea/msigdb/cards/GOMF_G_PROTEIN_COUPLED_AMINE_RECEPTOR_ACTIVITY.html","GOMF_G_PROTEIN_COUPLED_AMINE_RECEPTOR_ACTIVITY")</f>
        <v>GOMF_G_PROTEIN_COUPLED_AMINE_RECEPTOR_ACTIVITY</v>
      </c>
      <c r="C2882" s="4">
        <v>34</v>
      </c>
      <c r="D2882" s="3">
        <v>1.1375246999999999</v>
      </c>
      <c r="E2882" s="1">
        <v>0.26229507000000002</v>
      </c>
      <c r="F2882" s="2">
        <v>0.37744467999999998</v>
      </c>
    </row>
    <row r="2883" spans="1:6" x14ac:dyDescent="0.25">
      <c r="A2883" t="s">
        <v>6</v>
      </c>
      <c r="B2883" s="5" t="str">
        <f>HYPERLINK("http://www.broadinstitute.org/gsea/msigdb/cards/GOBP_ESTABLISHMENT_OF_PROTEIN_LOCALIZATION_TO_ORGANELLE.html","GOBP_ESTABLISHMENT_OF_PROTEIN_LOCALIZATION_TO_ORGANELLE")</f>
        <v>GOBP_ESTABLISHMENT_OF_PROTEIN_LOCALIZATION_TO_ORGANELLE</v>
      </c>
      <c r="C2883" s="4">
        <v>435</v>
      </c>
      <c r="D2883" s="3">
        <v>1.1371070000000001</v>
      </c>
      <c r="E2883" s="1">
        <v>0.12060302000000001</v>
      </c>
      <c r="F2883" s="2">
        <v>0.3781427</v>
      </c>
    </row>
    <row r="2884" spans="1:6" x14ac:dyDescent="0.25">
      <c r="A2884" t="s">
        <v>6</v>
      </c>
      <c r="B2884" s="5" t="str">
        <f>HYPERLINK("http://www.broadinstitute.org/gsea/msigdb/cards/GOBP_RESPONSE_TO_SALT.html","GOBP_RESPONSE_TO_SALT")</f>
        <v>GOBP_RESPONSE_TO_SALT</v>
      </c>
      <c r="C2884" s="4">
        <v>336</v>
      </c>
      <c r="D2884" s="3">
        <v>1.1368585</v>
      </c>
      <c r="E2884" s="1">
        <v>0.163827</v>
      </c>
      <c r="F2884" s="2">
        <v>0.37849379999999999</v>
      </c>
    </row>
    <row r="2885" spans="1:6" x14ac:dyDescent="0.25">
      <c r="A2885" t="s">
        <v>6</v>
      </c>
      <c r="B2885" s="5" t="str">
        <f>HYPERLINK("http://www.broadinstitute.org/gsea/msigdb/cards/GOBP_SCHWANN_CELL_DIFFERENTIATION.html","GOBP_SCHWANN_CELL_DIFFERENTIATION")</f>
        <v>GOBP_SCHWANN_CELL_DIFFERENTIATION</v>
      </c>
      <c r="C2885" s="4">
        <v>52</v>
      </c>
      <c r="D2885" s="3">
        <v>1.1367117</v>
      </c>
      <c r="E2885" s="1">
        <v>0.2350081</v>
      </c>
      <c r="F2885" s="2">
        <v>0.37865095999999998</v>
      </c>
    </row>
    <row r="2886" spans="1:6" x14ac:dyDescent="0.25">
      <c r="A2886" t="s">
        <v>6</v>
      </c>
      <c r="B2886" s="5" t="str">
        <f>HYPERLINK("http://www.broadinstitute.org/gsea/msigdb/cards/GOBP_ASPARTATE_FAMILY_AMINO_ACID_BIOSYNTHETIC_PROCESS.html","GOBP_ASPARTATE_FAMILY_AMINO_ACID_BIOSYNTHETIC_PROCESS")</f>
        <v>GOBP_ASPARTATE_FAMILY_AMINO_ACID_BIOSYNTHETIC_PROCESS</v>
      </c>
      <c r="C2886" s="4">
        <v>21</v>
      </c>
      <c r="D2886" s="3">
        <v>1.1362367</v>
      </c>
      <c r="E2886" s="1">
        <v>0.28741496999999999</v>
      </c>
      <c r="F2886" s="2">
        <v>0.37945237999999998</v>
      </c>
    </row>
    <row r="2887" spans="1:6" x14ac:dyDescent="0.25">
      <c r="A2887" t="s">
        <v>6</v>
      </c>
      <c r="B2887" s="5" t="str">
        <f>HYPERLINK("http://www.broadinstitute.org/gsea/msigdb/cards/GOBP_LIPID_IMPORT_INTO_CELL.html","GOBP_LIPID_IMPORT_INTO_CELL")</f>
        <v>GOBP_LIPID_IMPORT_INTO_CELL</v>
      </c>
      <c r="C2887" s="4">
        <v>24</v>
      </c>
      <c r="D2887" s="3">
        <v>1.135316</v>
      </c>
      <c r="E2887" s="1">
        <v>0.28644940000000002</v>
      </c>
      <c r="F2887" s="2">
        <v>0.38112304000000002</v>
      </c>
    </row>
    <row r="2888" spans="1:6" x14ac:dyDescent="0.25">
      <c r="A2888" t="s">
        <v>6</v>
      </c>
      <c r="B2888" s="5" t="str">
        <f>HYPERLINK("http://www.broadinstitute.org/gsea/msigdb/cards/GOBP_POSITIVE_REGULATION_OF_EXTRACELLULAR_MATRIX_ORGANIZATION.html","GOBP_POSITIVE_REGULATION_OF_EXTRACELLULAR_MATRIX_ORGANIZATION")</f>
        <v>GOBP_POSITIVE_REGULATION_OF_EXTRACELLULAR_MATRIX_ORGANIZATION</v>
      </c>
      <c r="C2888" s="4">
        <v>31</v>
      </c>
      <c r="D2888" s="3">
        <v>1.1351850000000001</v>
      </c>
      <c r="E2888" s="1">
        <v>0.27054795999999998</v>
      </c>
      <c r="F2888" s="2">
        <v>0.38123681999999998</v>
      </c>
    </row>
    <row r="2889" spans="1:6" x14ac:dyDescent="0.25">
      <c r="A2889" t="s">
        <v>6</v>
      </c>
      <c r="B2889" s="5" t="str">
        <f>HYPERLINK("http://www.broadinstitute.org/gsea/msigdb/cards/GOBP_POSITIVE_REGULATION_OF_AMIDE_METABOLIC_PROCESS.html","GOBP_POSITIVE_REGULATION_OF_AMIDE_METABOLIC_PROCESS")</f>
        <v>GOBP_POSITIVE_REGULATION_OF_AMIDE_METABOLIC_PROCESS</v>
      </c>
      <c r="C2889" s="4">
        <v>168</v>
      </c>
      <c r="D2889" s="3">
        <v>1.1351838999999999</v>
      </c>
      <c r="E2889" s="1">
        <v>0.19075144999999999</v>
      </c>
      <c r="F2889" s="2">
        <v>0.38110622999999999</v>
      </c>
    </row>
    <row r="2890" spans="1:6" x14ac:dyDescent="0.25">
      <c r="A2890" t="s">
        <v>6</v>
      </c>
      <c r="B2890" s="5" t="str">
        <f>HYPERLINK("http://www.broadinstitute.org/gsea/msigdb/cards/GOBP_FATTY_ACID_CATABOLIC_PROCESS.html","GOBP_FATTY_ACID_CATABOLIC_PROCESS")</f>
        <v>GOBP_FATTY_ACID_CATABOLIC_PROCESS</v>
      </c>
      <c r="C2890" s="4">
        <v>108</v>
      </c>
      <c r="D2890" s="3">
        <v>1.1347590000000001</v>
      </c>
      <c r="E2890" s="1">
        <v>0.20236336999999999</v>
      </c>
      <c r="F2890" s="2">
        <v>0.38178688</v>
      </c>
    </row>
    <row r="2891" spans="1:6" x14ac:dyDescent="0.25">
      <c r="A2891" t="s">
        <v>6</v>
      </c>
      <c r="B2891" s="5" t="str">
        <f>HYPERLINK("http://www.broadinstitute.org/gsea/msigdb/cards/GOBP_POSITIVE_REGULATION_OF_ERAD_PATHWAY.html","GOBP_POSITIVE_REGULATION_OF_ERAD_PATHWAY")</f>
        <v>GOBP_POSITIVE_REGULATION_OF_ERAD_PATHWAY</v>
      </c>
      <c r="C2891" s="4">
        <v>18</v>
      </c>
      <c r="D2891" s="3">
        <v>1.1346847</v>
      </c>
      <c r="E2891" s="1">
        <v>0.27640846000000002</v>
      </c>
      <c r="F2891" s="2">
        <v>0.38179049999999998</v>
      </c>
    </row>
    <row r="2892" spans="1:6" x14ac:dyDescent="0.25">
      <c r="A2892" t="s">
        <v>5</v>
      </c>
      <c r="B2892" s="5" t="str">
        <f>HYPERLINK("http://www.broadinstitute.org/gsea/msigdb/cards/BIOCARTA_CCR3_PATHWAY.html","BIOCARTA_CCR3_PATHWAY")</f>
        <v>BIOCARTA_CCR3_PATHWAY</v>
      </c>
      <c r="C2892" s="4">
        <v>18</v>
      </c>
      <c r="D2892" s="3">
        <v>1.1346708999999999</v>
      </c>
      <c r="E2892" s="1">
        <v>0.2862191</v>
      </c>
      <c r="F2892" s="2">
        <v>0.38169160000000002</v>
      </c>
    </row>
    <row r="2893" spans="1:6" x14ac:dyDescent="0.25">
      <c r="A2893" t="s">
        <v>8</v>
      </c>
      <c r="B2893" s="5" t="str">
        <f>HYPERLINK("http://www.broadinstitute.org/gsea/msigdb/cards/GOMF_ADRENERGIC_RECEPTOR_BINDING.html","GOMF_ADRENERGIC_RECEPTOR_BINDING")</f>
        <v>GOMF_ADRENERGIC_RECEPTOR_BINDING</v>
      </c>
      <c r="C2893" s="4">
        <v>23</v>
      </c>
      <c r="D2893" s="3">
        <v>1.1346442999999999</v>
      </c>
      <c r="E2893" s="1">
        <v>0.27162629999999999</v>
      </c>
      <c r="F2893" s="2">
        <v>0.38161284000000001</v>
      </c>
    </row>
    <row r="2894" spans="1:6" x14ac:dyDescent="0.25">
      <c r="A2894" t="s">
        <v>8</v>
      </c>
      <c r="B2894" s="5" t="str">
        <f>HYPERLINK("http://www.broadinstitute.org/gsea/msigdb/cards/GOMF_SEMAPHORIN_RECEPTOR_BINDING.html","GOMF_SEMAPHORIN_RECEPTOR_BINDING")</f>
        <v>GOMF_SEMAPHORIN_RECEPTOR_BINDING</v>
      </c>
      <c r="C2894" s="4">
        <v>21</v>
      </c>
      <c r="D2894" s="3">
        <v>1.1345225999999999</v>
      </c>
      <c r="E2894" s="1">
        <v>0.28097729999999999</v>
      </c>
      <c r="F2894" s="2">
        <v>0.38170116999999998</v>
      </c>
    </row>
    <row r="2895" spans="1:6" x14ac:dyDescent="0.25">
      <c r="A2895" t="s">
        <v>6</v>
      </c>
      <c r="B2895" s="5" t="str">
        <f>HYPERLINK("http://www.broadinstitute.org/gsea/msigdb/cards/GOBP_PRIMARY_NEURAL_TUBE_FORMATION.html","GOBP_PRIMARY_NEURAL_TUBE_FORMATION")</f>
        <v>GOBP_PRIMARY_NEURAL_TUBE_FORMATION</v>
      </c>
      <c r="C2895" s="4">
        <v>119</v>
      </c>
      <c r="D2895" s="3">
        <v>1.1344552000000001</v>
      </c>
      <c r="E2895" s="1">
        <v>0.21739130000000001</v>
      </c>
      <c r="F2895" s="2">
        <v>0.38170130000000002</v>
      </c>
    </row>
    <row r="2896" spans="1:6" x14ac:dyDescent="0.25">
      <c r="A2896" t="s">
        <v>6</v>
      </c>
      <c r="B2896" s="5" t="str">
        <f>HYPERLINK("http://www.broadinstitute.org/gsea/msigdb/cards/GOBP_OLEFINIC_COMPOUND_BIOSYNTHETIC_PROCESS.html","GOBP_OLEFINIC_COMPOUND_BIOSYNTHETIC_PROCESS")</f>
        <v>GOBP_OLEFINIC_COMPOUND_BIOSYNTHETIC_PROCESS</v>
      </c>
      <c r="C2896" s="4">
        <v>29</v>
      </c>
      <c r="D2896" s="3">
        <v>1.1338121000000001</v>
      </c>
      <c r="E2896" s="1">
        <v>0.28497410000000001</v>
      </c>
      <c r="F2896" s="2">
        <v>0.38282377000000001</v>
      </c>
    </row>
    <row r="2897" spans="1:6" x14ac:dyDescent="0.25">
      <c r="A2897" t="s">
        <v>6</v>
      </c>
      <c r="B2897" s="5" t="str">
        <f>HYPERLINK("http://www.broadinstitute.org/gsea/msigdb/cards/GOBP_REGULATION_OF_PHOSPHOPROTEIN_PHOSPHATASE_ACTIVITY.html","GOBP_REGULATION_OF_PHOSPHOPROTEIN_PHOSPHATASE_ACTIVITY")</f>
        <v>GOBP_REGULATION_OF_PHOSPHOPROTEIN_PHOSPHATASE_ACTIVITY</v>
      </c>
      <c r="C2897" s="4">
        <v>52</v>
      </c>
      <c r="D2897" s="3">
        <v>1.1337611999999999</v>
      </c>
      <c r="E2897" s="1">
        <v>0.24842766999999999</v>
      </c>
      <c r="F2897" s="2">
        <v>0.38279999999999997</v>
      </c>
    </row>
    <row r="2898" spans="1:6" x14ac:dyDescent="0.25">
      <c r="A2898" t="s">
        <v>6</v>
      </c>
      <c r="B2898" s="5" t="str">
        <f>HYPERLINK("http://www.broadinstitute.org/gsea/msigdb/cards/GOBP_POSITIVE_REGULATION_OF_FILOPODIUM_ASSEMBLY.html","GOBP_POSITIVE_REGULATION_OF_FILOPODIUM_ASSEMBLY")</f>
        <v>GOBP_POSITIVE_REGULATION_OF_FILOPODIUM_ASSEMBLY</v>
      </c>
      <c r="C2898" s="4">
        <v>33</v>
      </c>
      <c r="D2898" s="3">
        <v>1.1335634999999999</v>
      </c>
      <c r="E2898" s="1">
        <v>0.25709515999999999</v>
      </c>
      <c r="F2898" s="2">
        <v>0.38305232</v>
      </c>
    </row>
    <row r="2899" spans="1:6" x14ac:dyDescent="0.25">
      <c r="A2899" t="s">
        <v>6</v>
      </c>
      <c r="B2899" s="5" t="str">
        <f>HYPERLINK("http://www.broadinstitute.org/gsea/msigdb/cards/GOBP_REGULATION_OF_GLYCOPROTEIN_METABOLIC_PROCESS.html","GOBP_REGULATION_OF_GLYCOPROTEIN_METABOLIC_PROCESS")</f>
        <v>GOBP_REGULATION_OF_GLYCOPROTEIN_METABOLIC_PROCESS</v>
      </c>
      <c r="C2899" s="4">
        <v>44</v>
      </c>
      <c r="D2899" s="3">
        <v>1.1333622999999999</v>
      </c>
      <c r="E2899" s="1">
        <v>0.2532258</v>
      </c>
      <c r="F2899" s="2">
        <v>0.38334691999999998</v>
      </c>
    </row>
    <row r="2900" spans="1:6" x14ac:dyDescent="0.25">
      <c r="A2900" t="s">
        <v>10</v>
      </c>
      <c r="B2900" s="5" t="str">
        <f>HYPERLINK("http://www.broadinstitute.org/gsea/msigdb/cards/REACTOME_TAK1_DEPENDENT_IKK_AND_NF_KAPPA_B_ACTIVATION.html","REACTOME_TAK1_DEPENDENT_IKK_AND_NF_KAPPA_B_ACTIVATION")</f>
        <v>REACTOME_TAK1_DEPENDENT_IKK_AND_NF_KAPPA_B_ACTIVATION</v>
      </c>
      <c r="C2900" s="4">
        <v>37</v>
      </c>
      <c r="D2900" s="3">
        <v>1.1333443000000001</v>
      </c>
      <c r="E2900" s="1">
        <v>0.26369863999999998</v>
      </c>
      <c r="F2900" s="2">
        <v>0.38324794000000001</v>
      </c>
    </row>
    <row r="2901" spans="1:6" x14ac:dyDescent="0.25">
      <c r="A2901" t="s">
        <v>5</v>
      </c>
      <c r="B2901" s="5" t="str">
        <f>HYPERLINK("http://www.broadinstitute.org/gsea/msigdb/cards/BIOCARTA_ECM_PATHWAY.html","BIOCARTA_ECM_PATHWAY")</f>
        <v>BIOCARTA_ECM_PATHWAY</v>
      </c>
      <c r="C2901" s="4">
        <v>21</v>
      </c>
      <c r="D2901" s="3">
        <v>1.1331089000000001</v>
      </c>
      <c r="E2901" s="1">
        <v>0.27815699999999999</v>
      </c>
      <c r="F2901" s="2">
        <v>0.38357281999999998</v>
      </c>
    </row>
    <row r="2902" spans="1:6" x14ac:dyDescent="0.25">
      <c r="A2902" t="s">
        <v>7</v>
      </c>
      <c r="B2902" s="5" t="str">
        <f>HYPERLINK("http://www.broadinstitute.org/gsea/msigdb/cards/GOCC_LIPID_DROPLET.html","GOCC_LIPID_DROPLET")</f>
        <v>GOCC_LIPID_DROPLET</v>
      </c>
      <c r="C2902" s="4">
        <v>109</v>
      </c>
      <c r="D2902" s="3">
        <v>1.1329359000000001</v>
      </c>
      <c r="E2902" s="1">
        <v>0.22848201000000001</v>
      </c>
      <c r="F2902" s="2">
        <v>0.38377043999999999</v>
      </c>
    </row>
    <row r="2903" spans="1:6" x14ac:dyDescent="0.25">
      <c r="A2903" t="s">
        <v>6</v>
      </c>
      <c r="B2903" s="5" t="str">
        <f>HYPERLINK("http://www.broadinstitute.org/gsea/msigdb/cards/GOBP_GLOMERULAR_MESANGIUM_DEVELOPMENT.html","GOBP_GLOMERULAR_MESANGIUM_DEVELOPMENT")</f>
        <v>GOBP_GLOMERULAR_MESANGIUM_DEVELOPMENT</v>
      </c>
      <c r="C2903" s="4">
        <v>15</v>
      </c>
      <c r="D2903" s="3">
        <v>1.1328712999999999</v>
      </c>
      <c r="E2903" s="1">
        <v>0.28034189999999998</v>
      </c>
      <c r="F2903" s="2">
        <v>0.38376527999999999</v>
      </c>
    </row>
    <row r="2904" spans="1:6" x14ac:dyDescent="0.25">
      <c r="A2904" t="s">
        <v>6</v>
      </c>
      <c r="B2904" s="5" t="str">
        <f>HYPERLINK("http://www.broadinstitute.org/gsea/msigdb/cards/GOBP_NEURAL_TUBE_FORMATION.html","GOBP_NEURAL_TUBE_FORMATION")</f>
        <v>GOBP_NEURAL_TUBE_FORMATION</v>
      </c>
      <c r="C2904" s="4">
        <v>132</v>
      </c>
      <c r="D2904" s="3">
        <v>1.1326604</v>
      </c>
      <c r="E2904" s="1">
        <v>0.21264368</v>
      </c>
      <c r="F2904" s="2">
        <v>0.38404807000000002</v>
      </c>
    </row>
    <row r="2905" spans="1:6" x14ac:dyDescent="0.25">
      <c r="A2905" t="s">
        <v>5</v>
      </c>
      <c r="B2905" s="5" t="str">
        <f>HYPERLINK("http://www.broadinstitute.org/gsea/msigdb/cards/BIOCARTA_AGR_PATHWAY.html","BIOCARTA_AGR_PATHWAY")</f>
        <v>BIOCARTA_AGR_PATHWAY</v>
      </c>
      <c r="C2905" s="4">
        <v>31</v>
      </c>
      <c r="D2905" s="3">
        <v>1.132525</v>
      </c>
      <c r="E2905" s="1">
        <v>0.26470589999999999</v>
      </c>
      <c r="F2905" s="2">
        <v>0.38417365999999997</v>
      </c>
    </row>
    <row r="2906" spans="1:6" x14ac:dyDescent="0.25">
      <c r="A2906" t="s">
        <v>6</v>
      </c>
      <c r="B2906" s="5" t="str">
        <f>HYPERLINK("http://www.broadinstitute.org/gsea/msigdb/cards/GOBP_NEUROMUSCULAR_JUNCTION_DEVELOPMENT.html","GOBP_NEUROMUSCULAR_JUNCTION_DEVELOPMENT")</f>
        <v>GOBP_NEUROMUSCULAR_JUNCTION_DEVELOPMENT</v>
      </c>
      <c r="C2906" s="4">
        <v>62</v>
      </c>
      <c r="D2906" s="3">
        <v>1.1324881</v>
      </c>
      <c r="E2906" s="1">
        <v>0.26349208000000002</v>
      </c>
      <c r="F2906" s="2">
        <v>0.38410919999999998</v>
      </c>
    </row>
    <row r="2907" spans="1:6" x14ac:dyDescent="0.25">
      <c r="A2907" t="s">
        <v>10</v>
      </c>
      <c r="B2907" s="5" t="str">
        <f>HYPERLINK("http://www.broadinstitute.org/gsea/msigdb/cards/REACTOME_GAP_JUNCTION_TRAFFICKING_AND_REGULATION.html","REACTOME_GAP_JUNCTION_TRAFFICKING_AND_REGULATION")</f>
        <v>REACTOME_GAP_JUNCTION_TRAFFICKING_AND_REGULATION</v>
      </c>
      <c r="C2907" s="4">
        <v>44</v>
      </c>
      <c r="D2907" s="3">
        <v>1.1324552000000001</v>
      </c>
      <c r="E2907" s="1">
        <v>0.25480767999999998</v>
      </c>
      <c r="F2907" s="2">
        <v>0.38404143000000002</v>
      </c>
    </row>
    <row r="2908" spans="1:6" x14ac:dyDescent="0.25">
      <c r="A2908" t="s">
        <v>10</v>
      </c>
      <c r="B2908" s="5" t="str">
        <f>HYPERLINK("http://www.broadinstitute.org/gsea/msigdb/cards/REACTOME_INOSITOL_PHOSPHATE_METABOLISM.html","REACTOME_INOSITOL_PHOSPHATE_METABOLISM")</f>
        <v>REACTOME_INOSITOL_PHOSPHATE_METABOLISM</v>
      </c>
      <c r="C2908" s="4">
        <v>48</v>
      </c>
      <c r="D2908" s="3">
        <v>1.1321581999999999</v>
      </c>
      <c r="E2908" s="1">
        <v>0.28145694999999998</v>
      </c>
      <c r="F2908" s="2">
        <v>0.38447446000000002</v>
      </c>
    </row>
    <row r="2909" spans="1:6" x14ac:dyDescent="0.25">
      <c r="A2909" t="s">
        <v>8</v>
      </c>
      <c r="B2909" s="5" t="str">
        <f>HYPERLINK("http://www.broadinstitute.org/gsea/msigdb/cards/GOMF_SEROTONIN_RECEPTOR_ACTIVITY.html","GOMF_SEROTONIN_RECEPTOR_ACTIVITY")</f>
        <v>GOMF_SEROTONIN_RECEPTOR_ACTIVITY</v>
      </c>
      <c r="C2909" s="4">
        <v>22</v>
      </c>
      <c r="D2909" s="3">
        <v>1.1320496</v>
      </c>
      <c r="E2909" s="1">
        <v>0.29491526000000001</v>
      </c>
      <c r="F2909" s="2">
        <v>0.38455476999999999</v>
      </c>
    </row>
    <row r="2910" spans="1:6" x14ac:dyDescent="0.25">
      <c r="A2910" t="s">
        <v>6</v>
      </c>
      <c r="B2910" s="5" t="str">
        <f>HYPERLINK("http://www.broadinstitute.org/gsea/msigdb/cards/GOBP_POSITIVE_REGULATION_OF_PROTEIN_TARGETING_TO_MEMBRANE.html","GOBP_POSITIVE_REGULATION_OF_PROTEIN_TARGETING_TO_MEMBRANE")</f>
        <v>GOBP_POSITIVE_REGULATION_OF_PROTEIN_TARGETING_TO_MEMBRANE</v>
      </c>
      <c r="C2910" s="4">
        <v>28</v>
      </c>
      <c r="D2910" s="3">
        <v>1.1320273999999999</v>
      </c>
      <c r="E2910" s="1">
        <v>0.28376069999999998</v>
      </c>
      <c r="F2910" s="2">
        <v>0.38446742</v>
      </c>
    </row>
    <row r="2911" spans="1:6" x14ac:dyDescent="0.25">
      <c r="A2911" t="s">
        <v>6</v>
      </c>
      <c r="B2911" s="5" t="str">
        <f>HYPERLINK("http://www.broadinstitute.org/gsea/msigdb/cards/GOBP_HEMATOPOIETIC_OR_LYMPHOID_ORGAN_DEVELOPMENT.html","GOBP_HEMATOPOIETIC_OR_LYMPHOID_ORGAN_DEVELOPMENT")</f>
        <v>GOBP_HEMATOPOIETIC_OR_LYMPHOID_ORGAN_DEVELOPMENT</v>
      </c>
      <c r="C2911" s="4">
        <v>121</v>
      </c>
      <c r="D2911" s="3">
        <v>1.1318444000000001</v>
      </c>
      <c r="E2911" s="1">
        <v>0.19969970000000001</v>
      </c>
      <c r="F2911" s="2">
        <v>0.38469500000000001</v>
      </c>
    </row>
    <row r="2912" spans="1:6" x14ac:dyDescent="0.25">
      <c r="A2912" t="s">
        <v>8</v>
      </c>
      <c r="B2912" s="5" t="str">
        <f>HYPERLINK("http://www.broadinstitute.org/gsea/msigdb/cards/GOMF_UBIQUITIN_LIKE_PROTEIN_CONJUGATING_ENZYME_BINDING.html","GOMF_UBIQUITIN_LIKE_PROTEIN_CONJUGATING_ENZYME_BINDING")</f>
        <v>GOMF_UBIQUITIN_LIKE_PROTEIN_CONJUGATING_ENZYME_BINDING</v>
      </c>
      <c r="C2912" s="4">
        <v>42</v>
      </c>
      <c r="D2912" s="3">
        <v>1.131758</v>
      </c>
      <c r="E2912" s="1">
        <v>0.27777780000000002</v>
      </c>
      <c r="F2912" s="2">
        <v>0.38473590000000002</v>
      </c>
    </row>
    <row r="2913" spans="1:6" x14ac:dyDescent="0.25">
      <c r="A2913" t="s">
        <v>6</v>
      </c>
      <c r="B2913" s="5" t="str">
        <f>HYPERLINK("http://www.broadinstitute.org/gsea/msigdb/cards/GOBP_CALCINEURIN_MEDIATED_SIGNALING.html","GOBP_CALCINEURIN_MEDIATED_SIGNALING")</f>
        <v>GOBP_CALCINEURIN_MEDIATED_SIGNALING</v>
      </c>
      <c r="C2913" s="4">
        <v>49</v>
      </c>
      <c r="D2913" s="3">
        <v>1.1316797000000001</v>
      </c>
      <c r="E2913" s="1">
        <v>0.2594417</v>
      </c>
      <c r="F2913" s="2">
        <v>0.38475227000000001</v>
      </c>
    </row>
    <row r="2914" spans="1:6" x14ac:dyDescent="0.25">
      <c r="A2914" t="s">
        <v>6</v>
      </c>
      <c r="B2914" s="5" t="str">
        <f>HYPERLINK("http://www.broadinstitute.org/gsea/msigdb/cards/GOBP_REGULATION_OF_NCRNA_TRANSCRIPTION.html","GOBP_REGULATION_OF_NCRNA_TRANSCRIPTION")</f>
        <v>GOBP_REGULATION_OF_NCRNA_TRANSCRIPTION</v>
      </c>
      <c r="C2914" s="4">
        <v>92</v>
      </c>
      <c r="D2914" s="3">
        <v>1.1316488</v>
      </c>
      <c r="E2914" s="1">
        <v>0.22047243999999999</v>
      </c>
      <c r="F2914" s="2">
        <v>0.38467975999999998</v>
      </c>
    </row>
    <row r="2915" spans="1:6" x14ac:dyDescent="0.25">
      <c r="A2915" t="s">
        <v>10</v>
      </c>
      <c r="B2915" s="5" t="str">
        <f>HYPERLINK("http://www.broadinstitute.org/gsea/msigdb/cards/REACTOME_ACTIVATION_OF_G_PROTEIN_GATED_POTASSIUM_CHANNELS.html","REACTOME_ACTIVATION_OF_G_PROTEIN_GATED_POTASSIUM_CHANNELS")</f>
        <v>REACTOME_ACTIVATION_OF_G_PROTEIN_GATED_POTASSIUM_CHANNELS</v>
      </c>
      <c r="C2915" s="4">
        <v>28</v>
      </c>
      <c r="D2915" s="3">
        <v>1.1315246999999999</v>
      </c>
      <c r="E2915" s="1">
        <v>0.28521127000000002</v>
      </c>
      <c r="F2915" s="2">
        <v>0.38479024000000001</v>
      </c>
    </row>
    <row r="2916" spans="1:6" x14ac:dyDescent="0.25">
      <c r="A2916" t="s">
        <v>6</v>
      </c>
      <c r="B2916" s="5" t="str">
        <f>HYPERLINK("http://www.broadinstitute.org/gsea/msigdb/cards/GOBP_RENAL_SYSTEM_PROCESS_INVOLVED_IN_REGULATION_OF_BLOOD_VOLUME.html","GOBP_RENAL_SYSTEM_PROCESS_INVOLVED_IN_REGULATION_OF_BLOOD_VOLUME")</f>
        <v>GOBP_RENAL_SYSTEM_PROCESS_INVOLVED_IN_REGULATION_OF_BLOOD_VOLUME</v>
      </c>
      <c r="C2916" s="4">
        <v>15</v>
      </c>
      <c r="D2916" s="3">
        <v>1.1312378999999999</v>
      </c>
      <c r="E2916" s="1">
        <v>0.29837249999999998</v>
      </c>
      <c r="F2916" s="2">
        <v>0.38522162999999998</v>
      </c>
    </row>
    <row r="2917" spans="1:6" x14ac:dyDescent="0.25">
      <c r="A2917" t="s">
        <v>6</v>
      </c>
      <c r="B2917" s="5" t="str">
        <f>HYPERLINK("http://www.broadinstitute.org/gsea/msigdb/cards/GOBP_POSITIVE_REGULATION_OF_BLOOD_CIRCULATION.html","GOBP_POSITIVE_REGULATION_OF_BLOOD_CIRCULATION")</f>
        <v>GOBP_POSITIVE_REGULATION_OF_BLOOD_CIRCULATION</v>
      </c>
      <c r="C2917" s="4">
        <v>44</v>
      </c>
      <c r="D2917" s="3">
        <v>1.1310538000000001</v>
      </c>
      <c r="E2917" s="1">
        <v>0.25907590000000003</v>
      </c>
      <c r="F2917" s="2">
        <v>0.38543286999999998</v>
      </c>
    </row>
    <row r="2918" spans="1:6" x14ac:dyDescent="0.25">
      <c r="A2918" t="s">
        <v>6</v>
      </c>
      <c r="B2918" s="5" t="str">
        <f>HYPERLINK("http://www.broadinstitute.org/gsea/msigdb/cards/GOBP_PROTEIN_MONOUBIQUITINATION.html","GOBP_PROTEIN_MONOUBIQUITINATION")</f>
        <v>GOBP_PROTEIN_MONOUBIQUITINATION</v>
      </c>
      <c r="C2918" s="4">
        <v>57</v>
      </c>
      <c r="D2918" s="3">
        <v>1.1310222999999999</v>
      </c>
      <c r="E2918" s="1">
        <v>0.26194146000000001</v>
      </c>
      <c r="F2918" s="2">
        <v>0.38536124999999999</v>
      </c>
    </row>
    <row r="2919" spans="1:6" x14ac:dyDescent="0.25">
      <c r="A2919" t="s">
        <v>6</v>
      </c>
      <c r="B2919" s="5" t="str">
        <f>HYPERLINK("http://www.broadinstitute.org/gsea/msigdb/cards/GOBP_REGULATION_OF_UBIQUITIN_PROTEIN_LIGASE_ACTIVITY.html","GOBP_REGULATION_OF_UBIQUITIN_PROTEIN_LIGASE_ACTIVITY")</f>
        <v>GOBP_REGULATION_OF_UBIQUITIN_PROTEIN_LIGASE_ACTIVITY</v>
      </c>
      <c r="C2919" s="4">
        <v>21</v>
      </c>
      <c r="D2919" s="3">
        <v>1.1308161000000001</v>
      </c>
      <c r="E2919" s="1">
        <v>0.28881469999999998</v>
      </c>
      <c r="F2919" s="2">
        <v>0.38563757999999998</v>
      </c>
    </row>
    <row r="2920" spans="1:6" x14ac:dyDescent="0.25">
      <c r="A2920" t="s">
        <v>7</v>
      </c>
      <c r="B2920" s="5" t="str">
        <f>HYPERLINK("http://www.broadinstitute.org/gsea/msigdb/cards/GOCC_PROTEIN_PHOSPHATASE_TYPE_1_COMPLEX.html","GOCC_PROTEIN_PHOSPHATASE_TYPE_1_COMPLEX")</f>
        <v>GOCC_PROTEIN_PHOSPHATASE_TYPE_1_COMPLEX</v>
      </c>
      <c r="C2920" s="4">
        <v>18</v>
      </c>
      <c r="D2920" s="3">
        <v>1.1298163999999999</v>
      </c>
      <c r="E2920" s="1">
        <v>0.29100527999999998</v>
      </c>
      <c r="F2920" s="2">
        <v>0.38747029999999999</v>
      </c>
    </row>
    <row r="2921" spans="1:6" x14ac:dyDescent="0.25">
      <c r="A2921" t="s">
        <v>8</v>
      </c>
      <c r="B2921" s="5" t="str">
        <f>HYPERLINK("http://www.broadinstitute.org/gsea/msigdb/cards/GOMF_PROTEIN_HETERODIMERIZATION_ACTIVITY.html","GOMF_PROTEIN_HETERODIMERIZATION_ACTIVITY")</f>
        <v>GOMF_PROTEIN_HETERODIMERIZATION_ACTIVITY</v>
      </c>
      <c r="C2921" s="4">
        <v>292</v>
      </c>
      <c r="D2921" s="3">
        <v>1.1298139</v>
      </c>
      <c r="E2921" s="1">
        <v>0.16467464000000001</v>
      </c>
      <c r="F2921" s="2">
        <v>0.38734382000000001</v>
      </c>
    </row>
    <row r="2922" spans="1:6" x14ac:dyDescent="0.25">
      <c r="A2922" t="s">
        <v>6</v>
      </c>
      <c r="B2922" s="5" t="str">
        <f>HYPERLINK("http://www.broadinstitute.org/gsea/msigdb/cards/GOBP_PIGMENTATION.html","GOBP_PIGMENTATION")</f>
        <v>GOBP_PIGMENTATION</v>
      </c>
      <c r="C2922" s="4">
        <v>116</v>
      </c>
      <c r="D2922" s="3">
        <v>1.1297018999999999</v>
      </c>
      <c r="E2922" s="1">
        <v>0.22188905</v>
      </c>
      <c r="F2922" s="2">
        <v>0.38744178000000001</v>
      </c>
    </row>
    <row r="2923" spans="1:6" x14ac:dyDescent="0.25">
      <c r="A2923" t="s">
        <v>6</v>
      </c>
      <c r="B2923" s="5" t="str">
        <f>HYPERLINK("http://www.broadinstitute.org/gsea/msigdb/cards/GOBP_REGULATION_OF_CELL_SIZE.html","GOBP_REGULATION_OF_CELL_SIZE")</f>
        <v>GOBP_REGULATION_OF_CELL_SIZE</v>
      </c>
      <c r="C2923" s="4">
        <v>219</v>
      </c>
      <c r="D2923" s="3">
        <v>1.1290734</v>
      </c>
      <c r="E2923" s="1">
        <v>0.19543509000000001</v>
      </c>
      <c r="F2923" s="2">
        <v>0.38854674</v>
      </c>
    </row>
    <row r="2924" spans="1:6" x14ac:dyDescent="0.25">
      <c r="A2924" t="s">
        <v>6</v>
      </c>
      <c r="B2924" s="5" t="str">
        <f>HYPERLINK("http://www.broadinstitute.org/gsea/msigdb/cards/GOBP_DIGESTIVE_SYSTEM_DEVELOPMENT.html","GOBP_DIGESTIVE_SYSTEM_DEVELOPMENT")</f>
        <v>GOBP_DIGESTIVE_SYSTEM_DEVELOPMENT</v>
      </c>
      <c r="C2924" s="4">
        <v>133</v>
      </c>
      <c r="D2924" s="3">
        <v>1.1288571000000001</v>
      </c>
      <c r="E2924" s="1">
        <v>0.22005989000000001</v>
      </c>
      <c r="F2924" s="2">
        <v>0.38885104999999998</v>
      </c>
    </row>
    <row r="2925" spans="1:6" x14ac:dyDescent="0.25">
      <c r="A2925" t="s">
        <v>6</v>
      </c>
      <c r="B2925" s="5" t="str">
        <f>HYPERLINK("http://www.broadinstitute.org/gsea/msigdb/cards/GOBP_PERIPHERAL_NERVOUS_SYSTEM_AXON_ENSHEATHMENT.html","GOBP_PERIPHERAL_NERVOUS_SYSTEM_AXON_ENSHEATHMENT")</f>
        <v>GOBP_PERIPHERAL_NERVOUS_SYSTEM_AXON_ENSHEATHMENT</v>
      </c>
      <c r="C2925" s="4">
        <v>32</v>
      </c>
      <c r="D2925" s="3">
        <v>1.1286210000000001</v>
      </c>
      <c r="E2925" s="1">
        <v>0.27097902000000001</v>
      </c>
      <c r="F2925" s="2">
        <v>0.38918747999999997</v>
      </c>
    </row>
    <row r="2926" spans="1:6" x14ac:dyDescent="0.25">
      <c r="A2926" t="s">
        <v>6</v>
      </c>
      <c r="B2926" s="5" t="str">
        <f>HYPERLINK("http://www.broadinstitute.org/gsea/msigdb/cards/GOBP_GLUTAMINE_FAMILY_AMINO_ACID_CATABOLIC_PROCESS.html","GOBP_GLUTAMINE_FAMILY_AMINO_ACID_CATABOLIC_PROCESS")</f>
        <v>GOBP_GLUTAMINE_FAMILY_AMINO_ACID_CATABOLIC_PROCESS</v>
      </c>
      <c r="C2926" s="4">
        <v>23</v>
      </c>
      <c r="D2926" s="3">
        <v>1.128565</v>
      </c>
      <c r="E2926" s="1">
        <v>0.28911564000000001</v>
      </c>
      <c r="F2926" s="2">
        <v>0.38916669999999998</v>
      </c>
    </row>
    <row r="2927" spans="1:6" x14ac:dyDescent="0.25">
      <c r="A2927" t="s">
        <v>7</v>
      </c>
      <c r="B2927" s="5" t="str">
        <f>HYPERLINK("http://www.broadinstitute.org/gsea/msigdb/cards/GOCC_PIGMENT_GRANULE.html","GOCC_PIGMENT_GRANULE")</f>
        <v>GOCC_PIGMENT_GRANULE</v>
      </c>
      <c r="C2927" s="4">
        <v>39</v>
      </c>
      <c r="D2927" s="3">
        <v>1.1282449000000001</v>
      </c>
      <c r="E2927" s="1">
        <v>0.28324695999999999</v>
      </c>
      <c r="F2927" s="2">
        <v>0.38964431999999999</v>
      </c>
    </row>
    <row r="2928" spans="1:6" x14ac:dyDescent="0.25">
      <c r="A2928" t="s">
        <v>6</v>
      </c>
      <c r="B2928" s="5" t="str">
        <f>HYPERLINK("http://www.broadinstitute.org/gsea/msigdb/cards/GOBP_REGULATION_OF_T_CELL_DIFFERENTIATION_IN_THYMUS.html","GOBP_REGULATION_OF_T_CELL_DIFFERENTIATION_IN_THYMUS")</f>
        <v>GOBP_REGULATION_OF_T_CELL_DIFFERENTIATION_IN_THYMUS</v>
      </c>
      <c r="C2928" s="4">
        <v>32</v>
      </c>
      <c r="D2928" s="3">
        <v>1.1282052</v>
      </c>
      <c r="E2928" s="1">
        <v>0.27609430000000001</v>
      </c>
      <c r="F2928" s="2">
        <v>0.38959417000000002</v>
      </c>
    </row>
    <row r="2929" spans="1:6" x14ac:dyDescent="0.25">
      <c r="A2929" t="s">
        <v>6</v>
      </c>
      <c r="B2929" s="5" t="str">
        <f>HYPERLINK("http://www.broadinstitute.org/gsea/msigdb/cards/GOBP_POSITIVE_REGULATION_OF_CELL_JUNCTION_ASSEMBLY.html","GOBP_POSITIVE_REGULATION_OF_CELL_JUNCTION_ASSEMBLY")</f>
        <v>GOBP_POSITIVE_REGULATION_OF_CELL_JUNCTION_ASSEMBLY</v>
      </c>
      <c r="C2929" s="4">
        <v>128</v>
      </c>
      <c r="D2929" s="3">
        <v>1.1276398000000001</v>
      </c>
      <c r="E2929" s="1">
        <v>0.20880681000000001</v>
      </c>
      <c r="F2929" s="2">
        <v>0.39061405999999999</v>
      </c>
    </row>
    <row r="2930" spans="1:6" x14ac:dyDescent="0.25">
      <c r="A2930" t="s">
        <v>8</v>
      </c>
      <c r="B2930" s="5" t="str">
        <f>HYPERLINK("http://www.broadinstitute.org/gsea/msigdb/cards/GOMF_ORGANIC_ANION_TRANSMEMBRANE_TRANSPORTER_ACTIVITY.html","GOMF_ORGANIC_ANION_TRANSMEMBRANE_TRANSPORTER_ACTIVITY")</f>
        <v>GOMF_ORGANIC_ANION_TRANSMEMBRANE_TRANSPORTER_ACTIVITY</v>
      </c>
      <c r="C2930" s="4">
        <v>235</v>
      </c>
      <c r="D2930" s="3">
        <v>1.1275781</v>
      </c>
      <c r="E2930" s="1">
        <v>0.16690042999999999</v>
      </c>
      <c r="F2930" s="2">
        <v>0.39061752</v>
      </c>
    </row>
    <row r="2931" spans="1:6" x14ac:dyDescent="0.25">
      <c r="A2931" t="s">
        <v>6</v>
      </c>
      <c r="B2931" s="5" t="str">
        <f>HYPERLINK("http://www.broadinstitute.org/gsea/msigdb/cards/GOBP_EXTRACELLULAR_MATRIX_CONSTITUENT_SECRETION.html","GOBP_EXTRACELLULAR_MATRIX_CONSTITUENT_SECRETION")</f>
        <v>GOBP_EXTRACELLULAR_MATRIX_CONSTITUENT_SECRETION</v>
      </c>
      <c r="C2931" s="4">
        <v>16</v>
      </c>
      <c r="D2931" s="3">
        <v>1.1267859</v>
      </c>
      <c r="E2931" s="1">
        <v>0.3028169</v>
      </c>
      <c r="F2931" s="2">
        <v>0.39205616999999998</v>
      </c>
    </row>
    <row r="2932" spans="1:6" x14ac:dyDescent="0.25">
      <c r="A2932" t="s">
        <v>6</v>
      </c>
      <c r="B2932" s="5" t="str">
        <f>HYPERLINK("http://www.broadinstitute.org/gsea/msigdb/cards/GOBP_BLOOD_VESSEL_REMODELING.html","GOBP_BLOOD_VESSEL_REMODELING")</f>
        <v>GOBP_BLOOD_VESSEL_REMODELING</v>
      </c>
      <c r="C2932" s="4">
        <v>60</v>
      </c>
      <c r="D2932" s="3">
        <v>1.1260456999999999</v>
      </c>
      <c r="E2932" s="1">
        <v>0.26625386000000001</v>
      </c>
      <c r="F2932" s="2">
        <v>0.39339540000000001</v>
      </c>
    </row>
    <row r="2933" spans="1:6" x14ac:dyDescent="0.25">
      <c r="A2933" t="s">
        <v>6</v>
      </c>
      <c r="B2933" s="5" t="str">
        <f>HYPERLINK("http://www.broadinstitute.org/gsea/msigdb/cards/GOBP_RETINA_LAYER_FORMATION.html","GOBP_RETINA_LAYER_FORMATION")</f>
        <v>GOBP_RETINA_LAYER_FORMATION</v>
      </c>
      <c r="C2933" s="4">
        <v>20</v>
      </c>
      <c r="D2933" s="3">
        <v>1.1253545</v>
      </c>
      <c r="E2933" s="1">
        <v>0.29662523000000002</v>
      </c>
      <c r="F2933" s="2">
        <v>0.39464974000000003</v>
      </c>
    </row>
    <row r="2934" spans="1:6" x14ac:dyDescent="0.25">
      <c r="A2934" t="s">
        <v>6</v>
      </c>
      <c r="B2934" s="5" t="str">
        <f>HYPERLINK("http://www.broadinstitute.org/gsea/msigdb/cards/GOBP_NEGATIVE_REGULATION_OF_LYMPHOCYTE_DIFFERENTIATION.html","GOBP_NEGATIVE_REGULATION_OF_LYMPHOCYTE_DIFFERENTIATION")</f>
        <v>GOBP_NEGATIVE_REGULATION_OF_LYMPHOCYTE_DIFFERENTIATION</v>
      </c>
      <c r="C2934" s="4">
        <v>62</v>
      </c>
      <c r="D2934" s="3">
        <v>1.1251631</v>
      </c>
      <c r="E2934" s="1">
        <v>0.24572316999999999</v>
      </c>
      <c r="F2934" s="2">
        <v>0.39490876000000003</v>
      </c>
    </row>
    <row r="2935" spans="1:6" x14ac:dyDescent="0.25">
      <c r="A2935" t="s">
        <v>8</v>
      </c>
      <c r="B2935" s="5" t="str">
        <f>HYPERLINK("http://www.broadinstitute.org/gsea/msigdb/cards/GOMF_AMINOACYLTRANSFERASE_ACTIVITY.html","GOMF_AMINOACYLTRANSFERASE_ACTIVITY")</f>
        <v>GOMF_AMINOACYLTRANSFERASE_ACTIVITY</v>
      </c>
      <c r="C2935" s="4">
        <v>446</v>
      </c>
      <c r="D2935" s="3">
        <v>1.1247385999999999</v>
      </c>
      <c r="E2935" s="1">
        <v>0.14142679</v>
      </c>
      <c r="F2935" s="2">
        <v>0.39563292</v>
      </c>
    </row>
    <row r="2936" spans="1:6" x14ac:dyDescent="0.25">
      <c r="A2936" t="s">
        <v>8</v>
      </c>
      <c r="B2936" s="5" t="str">
        <f>HYPERLINK("http://www.broadinstitute.org/gsea/msigdb/cards/GOMF_TRANSMEMBRANE_RECEPTOR_PROTEIN_SERINE_THREONINE_KINASE_ACTIVITY.html","GOMF_TRANSMEMBRANE_RECEPTOR_PROTEIN_SERINE_THREONINE_KINASE_ACTIVITY")</f>
        <v>GOMF_TRANSMEMBRANE_RECEPTOR_PROTEIN_SERINE_THREONINE_KINASE_ACTIVITY</v>
      </c>
      <c r="C2936" s="4">
        <v>18</v>
      </c>
      <c r="D2936" s="3">
        <v>1.1246860000000001</v>
      </c>
      <c r="E2936" s="1">
        <v>0.29716194000000001</v>
      </c>
      <c r="F2936" s="2">
        <v>0.39561354999999998</v>
      </c>
    </row>
    <row r="2937" spans="1:6" x14ac:dyDescent="0.25">
      <c r="A2937" t="s">
        <v>6</v>
      </c>
      <c r="B2937" s="5" t="str">
        <f>HYPERLINK("http://www.broadinstitute.org/gsea/msigdb/cards/GOBP_TRICARBOXYLIC_ACID_METABOLIC_PROCESS.html","GOBP_TRICARBOXYLIC_ACID_METABOLIC_PROCESS")</f>
        <v>GOBP_TRICARBOXYLIC_ACID_METABOLIC_PROCESS</v>
      </c>
      <c r="C2937" s="4">
        <v>16</v>
      </c>
      <c r="D2937" s="3">
        <v>1.1244149000000001</v>
      </c>
      <c r="E2937" s="1">
        <v>0.30287647000000001</v>
      </c>
      <c r="F2937" s="2">
        <v>0.39600827999999999</v>
      </c>
    </row>
    <row r="2938" spans="1:6" x14ac:dyDescent="0.25">
      <c r="A2938" t="s">
        <v>7</v>
      </c>
      <c r="B2938" s="5" t="str">
        <f>HYPERLINK("http://www.broadinstitute.org/gsea/msigdb/cards/GOCC_TIGHT_JUNCTION.html","GOCC_TIGHT_JUNCTION")</f>
        <v>GOCC_TIGHT_JUNCTION</v>
      </c>
      <c r="C2938" s="4">
        <v>132</v>
      </c>
      <c r="D2938" s="3">
        <v>1.1238865</v>
      </c>
      <c r="E2938" s="1">
        <v>0.21751825999999999</v>
      </c>
      <c r="F2938" s="2">
        <v>0.39693144000000002</v>
      </c>
    </row>
    <row r="2939" spans="1:6" x14ac:dyDescent="0.25">
      <c r="A2939" t="s">
        <v>6</v>
      </c>
      <c r="B2939" s="5" t="str">
        <f>HYPERLINK("http://www.broadinstitute.org/gsea/msigdb/cards/GOBP_GLYCOSYLCERAMIDE_METABOLIC_PROCESS.html","GOBP_GLYCOSYLCERAMIDE_METABOLIC_PROCESS")</f>
        <v>GOBP_GLYCOSYLCERAMIDE_METABOLIC_PROCESS</v>
      </c>
      <c r="C2939" s="4">
        <v>16</v>
      </c>
      <c r="D2939" s="3">
        <v>1.1236037999999999</v>
      </c>
      <c r="E2939" s="1">
        <v>0.32541132</v>
      </c>
      <c r="F2939" s="2">
        <v>0.39734712</v>
      </c>
    </row>
    <row r="2940" spans="1:6" x14ac:dyDescent="0.25">
      <c r="A2940" t="s">
        <v>6</v>
      </c>
      <c r="B2940" s="5" t="str">
        <f>HYPERLINK("http://www.broadinstitute.org/gsea/msigdb/cards/GOBP_RESPONSE_TO_ANTIBIOTIC.html","GOBP_RESPONSE_TO_ANTIBIOTIC")</f>
        <v>GOBP_RESPONSE_TO_ANTIBIOTIC</v>
      </c>
      <c r="C2940" s="4">
        <v>32</v>
      </c>
      <c r="D2940" s="3">
        <v>1.1230791</v>
      </c>
      <c r="E2940" s="1">
        <v>0.28642382999999999</v>
      </c>
      <c r="F2940" s="2">
        <v>0.39823908000000002</v>
      </c>
    </row>
    <row r="2941" spans="1:6" x14ac:dyDescent="0.25">
      <c r="A2941" t="s">
        <v>5</v>
      </c>
      <c r="B2941" s="5" t="str">
        <f>HYPERLINK("http://www.broadinstitute.org/gsea/msigdb/cards/BIOCARTA_SPRY_PATHWAY.html","BIOCARTA_SPRY_PATHWAY")</f>
        <v>BIOCARTA_SPRY_PATHWAY</v>
      </c>
      <c r="C2941" s="4">
        <v>16</v>
      </c>
      <c r="D2941" s="3">
        <v>1.1225944000000001</v>
      </c>
      <c r="E2941" s="1">
        <v>0.29180887</v>
      </c>
      <c r="F2941" s="2">
        <v>0.39906779999999997</v>
      </c>
    </row>
    <row r="2942" spans="1:6" x14ac:dyDescent="0.25">
      <c r="A2942" t="s">
        <v>6</v>
      </c>
      <c r="B2942" s="5" t="str">
        <f>HYPERLINK("http://www.broadinstitute.org/gsea/msigdb/cards/GOBP_PLASMINOGEN_ACTIVATION.html","GOBP_PLASMINOGEN_ACTIVATION")</f>
        <v>GOBP_PLASMINOGEN_ACTIVATION</v>
      </c>
      <c r="C2942" s="4">
        <v>26</v>
      </c>
      <c r="D2942" s="3">
        <v>1.1224940999999999</v>
      </c>
      <c r="E2942" s="1">
        <v>0.32377739999999999</v>
      </c>
      <c r="F2942" s="2">
        <v>0.3991325</v>
      </c>
    </row>
    <row r="2943" spans="1:6" x14ac:dyDescent="0.25">
      <c r="A2943" t="s">
        <v>7</v>
      </c>
      <c r="B2943" s="5" t="str">
        <f>HYPERLINK("http://www.broadinstitute.org/gsea/msigdb/cards/GOCC_CELL_CELL_CONTACT_ZONE.html","GOCC_CELL_CELL_CONTACT_ZONE")</f>
        <v>GOCC_CELL_CELL_CONTACT_ZONE</v>
      </c>
      <c r="C2943" s="4">
        <v>89</v>
      </c>
      <c r="D2943" s="3">
        <v>1.1224936999999999</v>
      </c>
      <c r="E2943" s="1">
        <v>0.248503</v>
      </c>
      <c r="F2943" s="2">
        <v>0.39899746000000003</v>
      </c>
    </row>
    <row r="2944" spans="1:6" x14ac:dyDescent="0.25">
      <c r="A2944" t="s">
        <v>10</v>
      </c>
      <c r="B2944" s="5" t="str">
        <f>HYPERLINK("http://www.broadinstitute.org/gsea/msigdb/cards/REACTOME_ANTIGEN_PROCESSING_CROSS_PRESENTATION.html","REACTOME_ANTIGEN_PROCESSING_CROSS_PRESENTATION")</f>
        <v>REACTOME_ANTIGEN_PROCESSING_CROSS_PRESENTATION</v>
      </c>
      <c r="C2944" s="4">
        <v>82</v>
      </c>
      <c r="D2944" s="3">
        <v>1.1224856000000001</v>
      </c>
      <c r="E2944" s="1">
        <v>0.25440000000000002</v>
      </c>
      <c r="F2944" s="2">
        <v>0.39887761999999999</v>
      </c>
    </row>
    <row r="2945" spans="1:6" x14ac:dyDescent="0.25">
      <c r="A2945" t="s">
        <v>6</v>
      </c>
      <c r="B2945" s="5" t="str">
        <f>HYPERLINK("http://www.broadinstitute.org/gsea/msigdb/cards/GOBP_EMBRYONIC_HEMOPOIESIS.html","GOBP_EMBRYONIC_HEMOPOIESIS")</f>
        <v>GOBP_EMBRYONIC_HEMOPOIESIS</v>
      </c>
      <c r="C2945" s="4">
        <v>31</v>
      </c>
      <c r="D2945" s="3">
        <v>1.1222023000000001</v>
      </c>
      <c r="E2945" s="1">
        <v>0.30464714999999998</v>
      </c>
      <c r="F2945" s="2">
        <v>0.39932242000000001</v>
      </c>
    </row>
    <row r="2946" spans="1:6" x14ac:dyDescent="0.25">
      <c r="A2946" t="s">
        <v>6</v>
      </c>
      <c r="B2946" s="5" t="str">
        <f>HYPERLINK("http://www.broadinstitute.org/gsea/msigdb/cards/GOBP_IONOTROPIC_GLUTAMATE_RECEPTOR_SIGNALING_PATHWAY.html","GOBP_IONOTROPIC_GLUTAMATE_RECEPTOR_SIGNALING_PATHWAY")</f>
        <v>GOBP_IONOTROPIC_GLUTAMATE_RECEPTOR_SIGNALING_PATHWAY</v>
      </c>
      <c r="C2946" s="4">
        <v>19</v>
      </c>
      <c r="D2946" s="3">
        <v>1.1219318</v>
      </c>
      <c r="E2946" s="1">
        <v>0.29152541999999998</v>
      </c>
      <c r="F2946" s="2">
        <v>0.3997328</v>
      </c>
    </row>
    <row r="2947" spans="1:6" x14ac:dyDescent="0.25">
      <c r="A2947" t="s">
        <v>6</v>
      </c>
      <c r="B2947" s="5" t="str">
        <f>HYPERLINK("http://www.broadinstitute.org/gsea/msigdb/cards/GOBP_REGULATION_OF_OSTEOBLAST_DIFFERENTIATION.html","GOBP_REGULATION_OF_OSTEOBLAST_DIFFERENTIATION")</f>
        <v>GOBP_REGULATION_OF_OSTEOBLAST_DIFFERENTIATION</v>
      </c>
      <c r="C2947" s="4">
        <v>144</v>
      </c>
      <c r="D2947" s="3">
        <v>1.1216645000000001</v>
      </c>
      <c r="E2947" s="1">
        <v>0.21925926000000001</v>
      </c>
      <c r="F2947" s="2">
        <v>0.40014026000000003</v>
      </c>
    </row>
    <row r="2948" spans="1:6" x14ac:dyDescent="0.25">
      <c r="A2948" t="s">
        <v>8</v>
      </c>
      <c r="B2948" s="5" t="str">
        <f>HYPERLINK("http://www.broadinstitute.org/gsea/msigdb/cards/GOMF_RNA_NUCLEASE_ACTIVITY.html","GOMF_RNA_NUCLEASE_ACTIVITY")</f>
        <v>GOMF_RNA_NUCLEASE_ACTIVITY</v>
      </c>
      <c r="C2948" s="4">
        <v>114</v>
      </c>
      <c r="D2948" s="3">
        <v>1.1215128000000001</v>
      </c>
      <c r="E2948" s="1">
        <v>0.22960725000000001</v>
      </c>
      <c r="F2948" s="2">
        <v>0.40032329999999999</v>
      </c>
    </row>
    <row r="2949" spans="1:6" x14ac:dyDescent="0.25">
      <c r="A2949" t="s">
        <v>6</v>
      </c>
      <c r="B2949" s="5" t="str">
        <f>HYPERLINK("http://www.broadinstitute.org/gsea/msigdb/cards/GOBP_NUCLEOSIDE_METABOLIC_PROCESS.html","GOBP_NUCLEOSIDE_METABOLIC_PROCESS")</f>
        <v>GOBP_NUCLEOSIDE_METABOLIC_PROCESS</v>
      </c>
      <c r="C2949" s="4">
        <v>49</v>
      </c>
      <c r="D2949" s="3">
        <v>1.1212031</v>
      </c>
      <c r="E2949" s="1">
        <v>0.26031747</v>
      </c>
      <c r="F2949" s="2">
        <v>0.400835</v>
      </c>
    </row>
    <row r="2950" spans="1:6" x14ac:dyDescent="0.25">
      <c r="A2950" t="s">
        <v>11</v>
      </c>
      <c r="B2950" s="5" t="str">
        <f>HYPERLINK("http://www.broadinstitute.org/gsea/msigdb/cards/WP_BIOGENIC_AMINE_SYNTHESIS.html","WP_BIOGENIC_AMINE_SYNTHESIS")</f>
        <v>WP_BIOGENIC_AMINE_SYNTHESIS</v>
      </c>
      <c r="C2950" s="4">
        <v>15</v>
      </c>
      <c r="D2950" s="3">
        <v>1.1212</v>
      </c>
      <c r="E2950" s="1">
        <v>0.31918817999999999</v>
      </c>
      <c r="F2950" s="2">
        <v>0.4007056</v>
      </c>
    </row>
    <row r="2951" spans="1:6" x14ac:dyDescent="0.25">
      <c r="A2951" t="s">
        <v>10</v>
      </c>
      <c r="B2951" s="5" t="str">
        <f>HYPERLINK("http://www.broadinstitute.org/gsea/msigdb/cards/REACTOME_OVARIAN_TUMOR_DOMAIN_PROTEASES.html","REACTOME_OVARIAN_TUMOR_DOMAIN_PROTEASES")</f>
        <v>REACTOME_OVARIAN_TUMOR_DOMAIN_PROTEASES</v>
      </c>
      <c r="C2951" s="4">
        <v>32</v>
      </c>
      <c r="D2951" s="3">
        <v>1.1210335</v>
      </c>
      <c r="E2951" s="1">
        <v>0.30267558</v>
      </c>
      <c r="F2951" s="2">
        <v>0.40089409999999998</v>
      </c>
    </row>
    <row r="2952" spans="1:6" x14ac:dyDescent="0.25">
      <c r="A2952" t="s">
        <v>6</v>
      </c>
      <c r="B2952" s="5" t="str">
        <f>HYPERLINK("http://www.broadinstitute.org/gsea/msigdb/cards/GOBP_POSITIVE_REGULATION_OF_ASTROCYTE_DIFFERENTIATION.html","GOBP_POSITIVE_REGULATION_OF_ASTROCYTE_DIFFERENTIATION")</f>
        <v>GOBP_POSITIVE_REGULATION_OF_ASTROCYTE_DIFFERENTIATION</v>
      </c>
      <c r="C2952" s="4">
        <v>15</v>
      </c>
      <c r="D2952" s="3">
        <v>1.1209161999999999</v>
      </c>
      <c r="E2952" s="1">
        <v>0.30902780000000002</v>
      </c>
      <c r="F2952" s="2">
        <v>0.40098719999999999</v>
      </c>
    </row>
    <row r="2953" spans="1:6" x14ac:dyDescent="0.25">
      <c r="A2953" t="s">
        <v>6</v>
      </c>
      <c r="B2953" s="5" t="str">
        <f>HYPERLINK("http://www.broadinstitute.org/gsea/msigdb/cards/GOBP_INTRINSIC_APOPTOTIC_SIGNALING_PATHWAY_IN_RESPONSE_TO_OXIDATIVE_STRESS.html","GOBP_INTRINSIC_APOPTOTIC_SIGNALING_PATHWAY_IN_RESPONSE_TO_OXIDATIVE_STRESS")</f>
        <v>GOBP_INTRINSIC_APOPTOTIC_SIGNALING_PATHWAY_IN_RESPONSE_TO_OXIDATIVE_STRESS</v>
      </c>
      <c r="C2953" s="4">
        <v>58</v>
      </c>
      <c r="D2953" s="3">
        <v>1.1208924</v>
      </c>
      <c r="E2953" s="1">
        <v>0.26991870000000001</v>
      </c>
      <c r="F2953" s="2">
        <v>0.40090027</v>
      </c>
    </row>
    <row r="2954" spans="1:6" x14ac:dyDescent="0.25">
      <c r="A2954" t="s">
        <v>6</v>
      </c>
      <c r="B2954" s="5" t="str">
        <f>HYPERLINK("http://www.broadinstitute.org/gsea/msigdb/cards/GOBP_MORPHOGENESIS_OF_EMBRYONIC_EPITHELIUM.html","GOBP_MORPHOGENESIS_OF_EMBRYONIC_EPITHELIUM")</f>
        <v>GOBP_MORPHOGENESIS_OF_EMBRYONIC_EPITHELIUM</v>
      </c>
      <c r="C2954" s="4">
        <v>184</v>
      </c>
      <c r="D2954" s="3">
        <v>1.1206545999999999</v>
      </c>
      <c r="E2954" s="1">
        <v>0.21629213</v>
      </c>
      <c r="F2954" s="2">
        <v>0.40126073000000001</v>
      </c>
    </row>
    <row r="2955" spans="1:6" x14ac:dyDescent="0.25">
      <c r="A2955" t="s">
        <v>6</v>
      </c>
      <c r="B2955" s="5" t="str">
        <f>HYPERLINK("http://www.broadinstitute.org/gsea/msigdb/cards/GOBP_CELL_CELL_ADHESION_MEDIATED_BY_CADHERIN.html","GOBP_CELL_CELL_ADHESION_MEDIATED_BY_CADHERIN")</f>
        <v>GOBP_CELL_CELL_ADHESION_MEDIATED_BY_CADHERIN</v>
      </c>
      <c r="C2955" s="4">
        <v>44</v>
      </c>
      <c r="D2955" s="3">
        <v>1.1206206999999999</v>
      </c>
      <c r="E2955" s="1">
        <v>0.28279388</v>
      </c>
      <c r="F2955" s="2">
        <v>0.40118870000000001</v>
      </c>
    </row>
    <row r="2956" spans="1:6" x14ac:dyDescent="0.25">
      <c r="A2956" t="s">
        <v>6</v>
      </c>
      <c r="B2956" s="5" t="str">
        <f>HYPERLINK("http://www.broadinstitute.org/gsea/msigdb/cards/GOBP_THYMOCYTE_APOPTOTIC_PROCESS.html","GOBP_THYMOCYTE_APOPTOTIC_PROCESS")</f>
        <v>GOBP_THYMOCYTE_APOPTOTIC_PROCESS</v>
      </c>
      <c r="C2956" s="4">
        <v>26</v>
      </c>
      <c r="D2956" s="3">
        <v>1.1206198000000001</v>
      </c>
      <c r="E2956" s="1">
        <v>0.29422066000000002</v>
      </c>
      <c r="F2956" s="2">
        <v>0.40105469999999999</v>
      </c>
    </row>
    <row r="2957" spans="1:6" x14ac:dyDescent="0.25">
      <c r="A2957" t="s">
        <v>6</v>
      </c>
      <c r="B2957" s="5" t="str">
        <f>HYPERLINK("http://www.broadinstitute.org/gsea/msigdb/cards/GOBP_GLIAL_CELL_APOPTOTIC_PROCESS.html","GOBP_GLIAL_CELL_APOPTOTIC_PROCESS")</f>
        <v>GOBP_GLIAL_CELL_APOPTOTIC_PROCESS</v>
      </c>
      <c r="C2957" s="4">
        <v>20</v>
      </c>
      <c r="D2957" s="3">
        <v>1.1204947000000001</v>
      </c>
      <c r="E2957" s="1">
        <v>0.30244756</v>
      </c>
      <c r="F2957" s="2">
        <v>0.40114525000000001</v>
      </c>
    </row>
    <row r="2958" spans="1:6" x14ac:dyDescent="0.25">
      <c r="A2958" t="s">
        <v>10</v>
      </c>
      <c r="B2958" s="5" t="str">
        <f>HYPERLINK("http://www.broadinstitute.org/gsea/msigdb/cards/REACTOME_CA2_PATHWAY.html","REACTOME_CA2_PATHWAY")</f>
        <v>REACTOME_CA2_PATHWAY</v>
      </c>
      <c r="C2958" s="4">
        <v>44</v>
      </c>
      <c r="D2958" s="3">
        <v>1.1197888</v>
      </c>
      <c r="E2958" s="1">
        <v>0.27656249999999999</v>
      </c>
      <c r="F2958" s="2">
        <v>0.40240779999999998</v>
      </c>
    </row>
    <row r="2959" spans="1:6" x14ac:dyDescent="0.25">
      <c r="A2959" t="s">
        <v>10</v>
      </c>
      <c r="B2959" s="5" t="str">
        <f>HYPERLINK("http://www.broadinstitute.org/gsea/msigdb/cards/REACTOME_INTRACELLULAR_SIGNALING_BY_SECOND_MESSENGERS.html","REACTOME_INTRACELLULAR_SIGNALING_BY_SECOND_MESSENGERS")</f>
        <v>REACTOME_INTRACELLULAR_SIGNALING_BY_SECOND_MESSENGERS</v>
      </c>
      <c r="C2959" s="4">
        <v>259</v>
      </c>
      <c r="D2959" s="3">
        <v>1.1196501999999999</v>
      </c>
      <c r="E2959" s="1">
        <v>0.19359145999999999</v>
      </c>
      <c r="F2959" s="2">
        <v>0.40256133999999999</v>
      </c>
    </row>
    <row r="2960" spans="1:6" x14ac:dyDescent="0.25">
      <c r="A2960" t="s">
        <v>6</v>
      </c>
      <c r="B2960" s="5" t="str">
        <f>HYPERLINK("http://www.broadinstitute.org/gsea/msigdb/cards/GOBP_RESPONSE_TO_BMP.html","GOBP_RESPONSE_TO_BMP")</f>
        <v>GOBP_RESPONSE_TO_BMP</v>
      </c>
      <c r="C2960" s="4">
        <v>165</v>
      </c>
      <c r="D2960" s="3">
        <v>1.1194826</v>
      </c>
      <c r="E2960" s="1">
        <v>0.20143884000000001</v>
      </c>
      <c r="F2960" s="2">
        <v>0.40277305000000002</v>
      </c>
    </row>
    <row r="2961" spans="1:6" x14ac:dyDescent="0.25">
      <c r="A2961" t="s">
        <v>6</v>
      </c>
      <c r="B2961" s="5" t="str">
        <f>HYPERLINK("http://www.broadinstitute.org/gsea/msigdb/cards/GOBP_NEGATIVE_REGULATION_OF_CARDIAC_MUSCLE_TISSUE_GROWTH.html","GOBP_NEGATIVE_REGULATION_OF_CARDIAC_MUSCLE_TISSUE_GROWTH")</f>
        <v>GOBP_NEGATIVE_REGULATION_OF_CARDIAC_MUSCLE_TISSUE_GROWTH</v>
      </c>
      <c r="C2961" s="4">
        <v>31</v>
      </c>
      <c r="D2961" s="3">
        <v>1.1190382000000001</v>
      </c>
      <c r="E2961" s="1">
        <v>0.28694160000000002</v>
      </c>
      <c r="F2961" s="2">
        <v>0.40355345999999997</v>
      </c>
    </row>
    <row r="2962" spans="1:6" x14ac:dyDescent="0.25">
      <c r="A2962" t="s">
        <v>7</v>
      </c>
      <c r="B2962" s="5" t="str">
        <f>HYPERLINK("http://www.broadinstitute.org/gsea/msigdb/cards/GOCC_CLATHRIN_VESICLE_COAT.html","GOCC_CLATHRIN_VESICLE_COAT")</f>
        <v>GOCC_CLATHRIN_VESICLE_COAT</v>
      </c>
      <c r="C2962" s="4">
        <v>34</v>
      </c>
      <c r="D2962" s="3">
        <v>1.1189845</v>
      </c>
      <c r="E2962" s="1">
        <v>0.27512356999999998</v>
      </c>
      <c r="F2962" s="2">
        <v>0.40351253999999998</v>
      </c>
    </row>
    <row r="2963" spans="1:6" x14ac:dyDescent="0.25">
      <c r="A2963" t="s">
        <v>8</v>
      </c>
      <c r="B2963" s="5" t="str">
        <f>HYPERLINK("http://www.broadinstitute.org/gsea/msigdb/cards/GOMF_NADP_BINDING.html","GOMF_NADP_BINDING")</f>
        <v>GOMF_NADP_BINDING</v>
      </c>
      <c r="C2963" s="4">
        <v>46</v>
      </c>
      <c r="D2963" s="3">
        <v>1.1189358</v>
      </c>
      <c r="E2963" s="1">
        <v>0.27936509999999998</v>
      </c>
      <c r="F2963" s="2">
        <v>0.40348694000000002</v>
      </c>
    </row>
    <row r="2964" spans="1:6" x14ac:dyDescent="0.25">
      <c r="A2964" t="s">
        <v>6</v>
      </c>
      <c r="B2964" s="5" t="str">
        <f>HYPERLINK("http://www.broadinstitute.org/gsea/msigdb/cards/GOBP_REGULATION_OF_FATTY_ACID_BETA_OXIDATION.html","GOBP_REGULATION_OF_FATTY_ACID_BETA_OXIDATION")</f>
        <v>GOBP_REGULATION_OF_FATTY_ACID_BETA_OXIDATION</v>
      </c>
      <c r="C2964" s="4">
        <v>22</v>
      </c>
      <c r="D2964" s="3">
        <v>1.1186636999999999</v>
      </c>
      <c r="E2964" s="1">
        <v>0.29188254000000002</v>
      </c>
      <c r="F2964" s="2">
        <v>0.40388950000000001</v>
      </c>
    </row>
    <row r="2965" spans="1:6" x14ac:dyDescent="0.25">
      <c r="A2965" t="s">
        <v>8</v>
      </c>
      <c r="B2965" s="5" t="str">
        <f>HYPERLINK("http://www.broadinstitute.org/gsea/msigdb/cards/GOMF_NUCLEOCYTOPLASMIC_CARRIER_ACTIVITY.html","GOMF_NUCLEOCYTOPLASMIC_CARRIER_ACTIVITY")</f>
        <v>GOMF_NUCLEOCYTOPLASMIC_CARRIER_ACTIVITY</v>
      </c>
      <c r="C2965" s="4">
        <v>29</v>
      </c>
      <c r="D2965" s="3">
        <v>1.1186388</v>
      </c>
      <c r="E2965" s="1">
        <v>0.29459902999999998</v>
      </c>
      <c r="F2965" s="2">
        <v>0.40379998</v>
      </c>
    </row>
    <row r="2966" spans="1:6" x14ac:dyDescent="0.25">
      <c r="A2966" t="s">
        <v>6</v>
      </c>
      <c r="B2966" s="5" t="str">
        <f>HYPERLINK("http://www.broadinstitute.org/gsea/msigdb/cards/GOBP_SPHINGOID_METABOLIC_PROCESS.html","GOBP_SPHINGOID_METABOLIC_PROCESS")</f>
        <v>GOBP_SPHINGOID_METABOLIC_PROCESS</v>
      </c>
      <c r="C2966" s="4">
        <v>22</v>
      </c>
      <c r="D2966" s="3">
        <v>1.1185369999999999</v>
      </c>
      <c r="E2966" s="1">
        <v>0.30244756</v>
      </c>
      <c r="F2966" s="2">
        <v>0.40387773999999999</v>
      </c>
    </row>
    <row r="2967" spans="1:6" x14ac:dyDescent="0.25">
      <c r="A2967" t="s">
        <v>6</v>
      </c>
      <c r="B2967" s="5" t="str">
        <f>HYPERLINK("http://www.broadinstitute.org/gsea/msigdb/cards/GOBP_NEGATIVE_REGULATION_OF_TRANSLATIONAL_INITIATION.html","GOBP_NEGATIVE_REGULATION_OF_TRANSLATIONAL_INITIATION")</f>
        <v>GOBP_NEGATIVE_REGULATION_OF_TRANSLATIONAL_INITIATION</v>
      </c>
      <c r="C2967" s="4">
        <v>19</v>
      </c>
      <c r="D2967" s="3">
        <v>1.1183540000000001</v>
      </c>
      <c r="E2967" s="1">
        <v>0.31335615999999999</v>
      </c>
      <c r="F2967" s="2">
        <v>0.40412336999999998</v>
      </c>
    </row>
    <row r="2968" spans="1:6" x14ac:dyDescent="0.25">
      <c r="A2968" t="s">
        <v>6</v>
      </c>
      <c r="B2968" s="5" t="str">
        <f>HYPERLINK("http://www.broadinstitute.org/gsea/msigdb/cards/GOBP_REGULATION_OF_PROTEIN_MODIFICATION_BY_SMALL_PROTEIN_CONJUGATION_OR_REMOVAL.html","GOBP_REGULATION_OF_PROTEIN_MODIFICATION_BY_SMALL_PROTEIN_CONJUGATION_OR_REMOVAL")</f>
        <v>GOBP_REGULATION_OF_PROTEIN_MODIFICATION_BY_SMALL_PROTEIN_CONJUGATION_OR_REMOVAL</v>
      </c>
      <c r="C2968" s="4">
        <v>243</v>
      </c>
      <c r="D2968" s="3">
        <v>1.1182772000000001</v>
      </c>
      <c r="E2968" s="1">
        <v>0.18538566000000001</v>
      </c>
      <c r="F2968" s="2">
        <v>0.40414201999999999</v>
      </c>
    </row>
    <row r="2969" spans="1:6" x14ac:dyDescent="0.25">
      <c r="A2969" t="s">
        <v>6</v>
      </c>
      <c r="B2969" s="5" t="str">
        <f>HYPERLINK("http://www.broadinstitute.org/gsea/msigdb/cards/GOBP_INTESTINAL_EPITHELIAL_CELL_DEVELOPMENT.html","GOBP_INTESTINAL_EPITHELIAL_CELL_DEVELOPMENT")</f>
        <v>GOBP_INTESTINAL_EPITHELIAL_CELL_DEVELOPMENT</v>
      </c>
      <c r="C2969" s="4">
        <v>18</v>
      </c>
      <c r="D2969" s="3">
        <v>1.1179220999999999</v>
      </c>
      <c r="E2969" s="1">
        <v>0.31724137000000002</v>
      </c>
      <c r="F2969" s="2">
        <v>0.40470689999999998</v>
      </c>
    </row>
    <row r="2970" spans="1:6" x14ac:dyDescent="0.25">
      <c r="A2970" t="s">
        <v>6</v>
      </c>
      <c r="B2970" s="5" t="str">
        <f>HYPERLINK("http://www.broadinstitute.org/gsea/msigdb/cards/GOBP_REGULATION_OF_REACTIVE_OXYGEN_SPECIES_BIOSYNTHETIC_PROCESS.html","GOBP_REGULATION_OF_REACTIVE_OXYGEN_SPECIES_BIOSYNTHETIC_PROCESS")</f>
        <v>GOBP_REGULATION_OF_REACTIVE_OXYGEN_SPECIES_BIOSYNTHETIC_PROCESS</v>
      </c>
      <c r="C2970" s="4">
        <v>48</v>
      </c>
      <c r="D2970" s="3">
        <v>1.1174431</v>
      </c>
      <c r="E2970" s="1">
        <v>0.28289472999999998</v>
      </c>
      <c r="F2970" s="2">
        <v>0.40552396000000002</v>
      </c>
    </row>
    <row r="2971" spans="1:6" x14ac:dyDescent="0.25">
      <c r="A2971" t="s">
        <v>6</v>
      </c>
      <c r="B2971" s="5" t="str">
        <f>HYPERLINK("http://www.broadinstitute.org/gsea/msigdb/cards/GOBP_T_HELPER_2_CELL_DIFFERENTIATION.html","GOBP_T_HELPER_2_CELL_DIFFERENTIATION")</f>
        <v>GOBP_T_HELPER_2_CELL_DIFFERENTIATION</v>
      </c>
      <c r="C2971" s="4">
        <v>21</v>
      </c>
      <c r="D2971" s="3">
        <v>1.1173941000000001</v>
      </c>
      <c r="E2971" s="1">
        <v>0.30477759999999998</v>
      </c>
      <c r="F2971" s="2">
        <v>0.40549006999999998</v>
      </c>
    </row>
    <row r="2972" spans="1:6" x14ac:dyDescent="0.25">
      <c r="A2972" t="s">
        <v>6</v>
      </c>
      <c r="B2972" s="5" t="str">
        <f>HYPERLINK("http://www.broadinstitute.org/gsea/msigdb/cards/GOBP_GLAND_DEVELOPMENT.html","GOBP_GLAND_DEVELOPMENT")</f>
        <v>GOBP_GLAND_DEVELOPMENT</v>
      </c>
      <c r="C2972" s="4">
        <v>452</v>
      </c>
      <c r="D2972" s="3">
        <v>1.1172706999999999</v>
      </c>
      <c r="E2972" s="1">
        <v>0.15189873000000001</v>
      </c>
      <c r="F2972" s="2">
        <v>0.40560099999999999</v>
      </c>
    </row>
    <row r="2973" spans="1:6" x14ac:dyDescent="0.25">
      <c r="A2973" t="s">
        <v>8</v>
      </c>
      <c r="B2973" s="5" t="str">
        <f>HYPERLINK("http://www.broadinstitute.org/gsea/msigdb/cards/GOMF_XENOBIOTIC_TRANSMEMBRANE_TRANSPORTER_ACTIVITY.html","GOMF_XENOBIOTIC_TRANSMEMBRANE_TRANSPORTER_ACTIVITY")</f>
        <v>GOMF_XENOBIOTIC_TRANSMEMBRANE_TRANSPORTER_ACTIVITY</v>
      </c>
      <c r="C2973" s="4">
        <v>38</v>
      </c>
      <c r="D2973" s="3">
        <v>1.1168984</v>
      </c>
      <c r="E2973" s="1">
        <v>0.28785357</v>
      </c>
      <c r="F2973" s="2">
        <v>0.40622740000000002</v>
      </c>
    </row>
    <row r="2974" spans="1:6" x14ac:dyDescent="0.25">
      <c r="A2974" t="s">
        <v>6</v>
      </c>
      <c r="B2974" s="5" t="str">
        <f>HYPERLINK("http://www.broadinstitute.org/gsea/msigdb/cards/GOBP_REGULATION_OF_INSULIN_RECEPTOR_SIGNALING_PATHWAY.html","GOBP_REGULATION_OF_INSULIN_RECEPTOR_SIGNALING_PATHWAY")</f>
        <v>GOBP_REGULATION_OF_INSULIN_RECEPTOR_SIGNALING_PATHWAY</v>
      </c>
      <c r="C2974" s="4">
        <v>78</v>
      </c>
      <c r="D2974" s="3">
        <v>1.1156113000000001</v>
      </c>
      <c r="E2974" s="1">
        <v>0.26465929999999999</v>
      </c>
      <c r="F2974" s="2">
        <v>0.40872845000000002</v>
      </c>
    </row>
    <row r="2975" spans="1:6" x14ac:dyDescent="0.25">
      <c r="A2975" t="s">
        <v>6</v>
      </c>
      <c r="B2975" s="5" t="str">
        <f>HYPERLINK("http://www.broadinstitute.org/gsea/msigdb/cards/GOBP_AMINE_METABOLIC_PROCESS.html","GOBP_AMINE_METABOLIC_PROCESS")</f>
        <v>GOBP_AMINE_METABOLIC_PROCESS</v>
      </c>
      <c r="C2975" s="4">
        <v>119</v>
      </c>
      <c r="D2975" s="3">
        <v>1.1155314000000001</v>
      </c>
      <c r="E2975" s="1">
        <v>0.24444444000000001</v>
      </c>
      <c r="F2975" s="2">
        <v>0.40873971999999997</v>
      </c>
    </row>
    <row r="2976" spans="1:6" x14ac:dyDescent="0.25">
      <c r="A2976" t="s">
        <v>7</v>
      </c>
      <c r="B2976" s="5" t="str">
        <f>HYPERLINK("http://www.broadinstitute.org/gsea/msigdb/cards/GOCC_TRIGLYCERIDE_RICH_PLASMA_LIPOPROTEIN_PARTICLE.html","GOCC_TRIGLYCERIDE_RICH_PLASMA_LIPOPROTEIN_PARTICLE")</f>
        <v>GOCC_TRIGLYCERIDE_RICH_PLASMA_LIPOPROTEIN_PARTICLE</v>
      </c>
      <c r="C2976" s="4">
        <v>26</v>
      </c>
      <c r="D2976" s="3">
        <v>1.1151282</v>
      </c>
      <c r="E2976" s="1">
        <v>0.30716723000000001</v>
      </c>
      <c r="F2976" s="2">
        <v>0.40940516999999998</v>
      </c>
    </row>
    <row r="2977" spans="1:6" x14ac:dyDescent="0.25">
      <c r="A2977" t="s">
        <v>6</v>
      </c>
      <c r="B2977" s="5" t="str">
        <f>HYPERLINK("http://www.broadinstitute.org/gsea/msigdb/cards/GOBP_EMBRYONIC_BRAIN_DEVELOPMENT.html","GOBP_EMBRYONIC_BRAIN_DEVELOPMENT")</f>
        <v>GOBP_EMBRYONIC_BRAIN_DEVELOPMENT</v>
      </c>
      <c r="C2977" s="4">
        <v>23</v>
      </c>
      <c r="D2977" s="3">
        <v>1.1149085000000001</v>
      </c>
      <c r="E2977" s="1">
        <v>0.29815744999999999</v>
      </c>
      <c r="F2977" s="2">
        <v>0.40973495999999998</v>
      </c>
    </row>
    <row r="2978" spans="1:6" x14ac:dyDescent="0.25">
      <c r="A2978" t="s">
        <v>6</v>
      </c>
      <c r="B2978" s="5" t="str">
        <f>HYPERLINK("http://www.broadinstitute.org/gsea/msigdb/cards/GOBP_DICARBOXYLIC_ACID_TRANSPORT.html","GOBP_DICARBOXYLIC_ACID_TRANSPORT")</f>
        <v>GOBP_DICARBOXYLIC_ACID_TRANSPORT</v>
      </c>
      <c r="C2978" s="4">
        <v>99</v>
      </c>
      <c r="D2978" s="3">
        <v>1.1147952999999999</v>
      </c>
      <c r="E2978" s="1">
        <v>0.24454829</v>
      </c>
      <c r="F2978" s="2">
        <v>0.40982394999999999</v>
      </c>
    </row>
    <row r="2979" spans="1:6" x14ac:dyDescent="0.25">
      <c r="A2979" t="s">
        <v>6</v>
      </c>
      <c r="B2979" s="5" t="str">
        <f>HYPERLINK("http://www.broadinstitute.org/gsea/msigdb/cards/GOBP_EYE_PHOTORECEPTOR_CELL_DEVELOPMENT.html","GOBP_EYE_PHOTORECEPTOR_CELL_DEVELOPMENT")</f>
        <v>GOBP_EYE_PHOTORECEPTOR_CELL_DEVELOPMENT</v>
      </c>
      <c r="C2979" s="4">
        <v>39</v>
      </c>
      <c r="D2979" s="3">
        <v>1.1144989000000001</v>
      </c>
      <c r="E2979" s="1">
        <v>0.28595041999999998</v>
      </c>
      <c r="F2979" s="2">
        <v>0.41032891999999999</v>
      </c>
    </row>
    <row r="2980" spans="1:6" x14ac:dyDescent="0.25">
      <c r="A2980" t="s">
        <v>8</v>
      </c>
      <c r="B2980" s="5" t="str">
        <f>HYPERLINK("http://www.broadinstitute.org/gsea/msigdb/cards/GOMF_TRANSMEMBRANE_RECEPTOR_PROTEIN_SERINE_THREONINE_KINASE_BINDING.html","GOMF_TRANSMEMBRANE_RECEPTOR_PROTEIN_SERINE_THREONINE_KINASE_BINDING")</f>
        <v>GOMF_TRANSMEMBRANE_RECEPTOR_PROTEIN_SERINE_THREONINE_KINASE_BINDING</v>
      </c>
      <c r="C2980" s="4">
        <v>22</v>
      </c>
      <c r="D2980" s="3">
        <v>1.1144769000000001</v>
      </c>
      <c r="E2980" s="1">
        <v>0.28642382999999999</v>
      </c>
      <c r="F2980" s="2">
        <v>0.41023599999999999</v>
      </c>
    </row>
    <row r="2981" spans="1:6" x14ac:dyDescent="0.25">
      <c r="A2981" t="s">
        <v>6</v>
      </c>
      <c r="B2981" s="5" t="str">
        <f>HYPERLINK("http://www.broadinstitute.org/gsea/msigdb/cards/GOBP_POSITIVE_REGULATION_OF_MORPHOGENESIS_OF_AN_EPITHELIUM.html","GOBP_POSITIVE_REGULATION_OF_MORPHOGENESIS_OF_AN_EPITHELIUM")</f>
        <v>GOBP_POSITIVE_REGULATION_OF_MORPHOGENESIS_OF_AN_EPITHELIUM</v>
      </c>
      <c r="C2981" s="4">
        <v>40</v>
      </c>
      <c r="D2981" s="3">
        <v>1.1139014</v>
      </c>
      <c r="E2981" s="1">
        <v>0.29478827000000002</v>
      </c>
      <c r="F2981" s="2">
        <v>0.41127616</v>
      </c>
    </row>
    <row r="2982" spans="1:6" x14ac:dyDescent="0.25">
      <c r="A2982" t="s">
        <v>8</v>
      </c>
      <c r="B2982" s="5" t="str">
        <f>HYPERLINK("http://www.broadinstitute.org/gsea/msigdb/cards/GOMF_OXIDOREDUCTASE_ACTIVITY_ACTING_ON_SINGLE_DONORS_WITH_INCORPORATION_OF_MOLECULAR_OXYGEN.html","GOMF_OXIDOREDUCTASE_ACTIVITY_ACTING_ON_SINGLE_DONORS_WITH_INCORPORATION_OF_MOLECULAR_OXYGEN")</f>
        <v>GOMF_OXIDOREDUCTASE_ACTIVITY_ACTING_ON_SINGLE_DONORS_WITH_INCORPORATION_OF_MOLECULAR_OXYGEN</v>
      </c>
      <c r="C2982" s="4">
        <v>26</v>
      </c>
      <c r="D2982" s="3">
        <v>1.1136893999999999</v>
      </c>
      <c r="E2982" s="1">
        <v>0.30329289999999998</v>
      </c>
      <c r="F2982" s="2">
        <v>0.41157802999999998</v>
      </c>
    </row>
    <row r="2983" spans="1:6" x14ac:dyDescent="0.25">
      <c r="A2983" t="s">
        <v>6</v>
      </c>
      <c r="B2983" s="5" t="str">
        <f>HYPERLINK("http://www.broadinstitute.org/gsea/msigdb/cards/GOBP_NADPH_REGENERATION.html","GOBP_NADPH_REGENERATION")</f>
        <v>GOBP_NADPH_REGENERATION</v>
      </c>
      <c r="C2983" s="4">
        <v>23</v>
      </c>
      <c r="D2983" s="3">
        <v>1.1134177000000001</v>
      </c>
      <c r="E2983" s="1">
        <v>0.30474449999999997</v>
      </c>
      <c r="F2983" s="2">
        <v>0.4120066</v>
      </c>
    </row>
    <row r="2984" spans="1:6" x14ac:dyDescent="0.25">
      <c r="A2984" t="s">
        <v>11</v>
      </c>
      <c r="B2984" s="5" t="str">
        <f>HYPERLINK("http://www.broadinstitute.org/gsea/msigdb/cards/WP_OXIDATIVE_STRESS_AND_REDOX_PATHWAY.html","WP_OXIDATIVE_STRESS_AND_REDOX_PATHWAY")</f>
        <v>WP_OXIDATIVE_STRESS_AND_REDOX_PATHWAY</v>
      </c>
      <c r="C2984" s="4">
        <v>89</v>
      </c>
      <c r="D2984" s="3">
        <v>1.1134052000000001</v>
      </c>
      <c r="E2984" s="1">
        <v>0.25925925</v>
      </c>
      <c r="F2984" s="2">
        <v>0.41189152000000001</v>
      </c>
    </row>
    <row r="2985" spans="1:6" x14ac:dyDescent="0.25">
      <c r="A2985" t="s">
        <v>6</v>
      </c>
      <c r="B2985" s="5" t="str">
        <f>HYPERLINK("http://www.broadinstitute.org/gsea/msigdb/cards/GOBP_NEGATIVE_REGULATION_OF_OXIDATIVE_STRESS_INDUCED_INTRINSIC_APOPTOTIC_SIGNALING_PATHWAY.html","GOBP_NEGATIVE_REGULATION_OF_OXIDATIVE_STRESS_INDUCED_INTRINSIC_APOPTOTIC_SIGNALING_PATHWAY")</f>
        <v>GOBP_NEGATIVE_REGULATION_OF_OXIDATIVE_STRESS_INDUCED_INTRINSIC_APOPTOTIC_SIGNALING_PATHWAY</v>
      </c>
      <c r="C2985" s="4">
        <v>26</v>
      </c>
      <c r="D2985" s="3">
        <v>1.1132249000000001</v>
      </c>
      <c r="E2985" s="1">
        <v>0.29725087</v>
      </c>
      <c r="F2985" s="2">
        <v>0.41213476999999998</v>
      </c>
    </row>
    <row r="2986" spans="1:6" x14ac:dyDescent="0.25">
      <c r="A2986" t="s">
        <v>6</v>
      </c>
      <c r="B2986" s="5" t="str">
        <f>HYPERLINK("http://www.broadinstitute.org/gsea/msigdb/cards/GOBP_INTRACELLULAR_SODIUM_ION_HOMEOSTASIS.html","GOBP_INTRACELLULAR_SODIUM_ION_HOMEOSTASIS")</f>
        <v>GOBP_INTRACELLULAR_SODIUM_ION_HOMEOSTASIS</v>
      </c>
      <c r="C2986" s="4">
        <v>26</v>
      </c>
      <c r="D2986" s="3">
        <v>1.1132177999999999</v>
      </c>
      <c r="E2986" s="1">
        <v>0.30830671999999998</v>
      </c>
      <c r="F2986" s="2">
        <v>0.41201221999999998</v>
      </c>
    </row>
    <row r="2987" spans="1:6" x14ac:dyDescent="0.25">
      <c r="A2987" t="s">
        <v>10</v>
      </c>
      <c r="B2987" s="5" t="str">
        <f>HYPERLINK("http://www.broadinstitute.org/gsea/msigdb/cards/REACTOME_CELLULAR_SENESCENCE.html","REACTOME_CELLULAR_SENESCENCE")</f>
        <v>REACTOME_CELLULAR_SENESCENCE</v>
      </c>
      <c r="C2987" s="4">
        <v>93</v>
      </c>
      <c r="D2987" s="3">
        <v>1.1130793000000001</v>
      </c>
      <c r="E2987" s="1">
        <v>0.24096386</v>
      </c>
      <c r="F2987" s="2">
        <v>0.41215846</v>
      </c>
    </row>
    <row r="2988" spans="1:6" x14ac:dyDescent="0.25">
      <c r="A2988" t="s">
        <v>6</v>
      </c>
      <c r="B2988" s="5" t="str">
        <f>HYPERLINK("http://www.broadinstitute.org/gsea/msigdb/cards/GOBP_MONOATOMIC_ANION_TRANSMEMBRANE_TRANSPORT.html","GOBP_MONOATOMIC_ANION_TRANSMEMBRANE_TRANSPORT")</f>
        <v>GOBP_MONOATOMIC_ANION_TRANSMEMBRANE_TRANSPORT</v>
      </c>
      <c r="C2988" s="4">
        <v>89</v>
      </c>
      <c r="D2988" s="3">
        <v>1.1129994000000001</v>
      </c>
      <c r="E2988" s="1">
        <v>0.26178859999999998</v>
      </c>
      <c r="F2988" s="2">
        <v>0.41217379999999998</v>
      </c>
    </row>
    <row r="2989" spans="1:6" x14ac:dyDescent="0.25">
      <c r="A2989" t="s">
        <v>8</v>
      </c>
      <c r="B2989" s="5" t="str">
        <f>HYPERLINK("http://www.broadinstitute.org/gsea/msigdb/cards/GOMF_PHOSPHATIDYLSERINE_BINDING.html","GOMF_PHOSPHATIDYLSERINE_BINDING")</f>
        <v>GOMF_PHOSPHATIDYLSERINE_BINDING</v>
      </c>
      <c r="C2989" s="4">
        <v>65</v>
      </c>
      <c r="D2989" s="3">
        <v>1.1122772999999999</v>
      </c>
      <c r="E2989" s="1">
        <v>0.25404529999999997</v>
      </c>
      <c r="F2989" s="2">
        <v>0.41351873</v>
      </c>
    </row>
    <row r="2990" spans="1:6" x14ac:dyDescent="0.25">
      <c r="A2990" t="s">
        <v>6</v>
      </c>
      <c r="B2990" s="5" t="str">
        <f>HYPERLINK("http://www.broadinstitute.org/gsea/msigdb/cards/GOBP_ANGIOTENSIN_ACTIVATED_SIGNALING_PATHWAY.html","GOBP_ANGIOTENSIN_ACTIVATED_SIGNALING_PATHWAY")</f>
        <v>GOBP_ANGIOTENSIN_ACTIVATED_SIGNALING_PATHWAY</v>
      </c>
      <c r="C2990" s="4">
        <v>20</v>
      </c>
      <c r="D2990" s="3">
        <v>1.1121235</v>
      </c>
      <c r="E2990" s="1">
        <v>0.31951642000000002</v>
      </c>
      <c r="F2990" s="2">
        <v>0.41368895999999999</v>
      </c>
    </row>
    <row r="2991" spans="1:6" x14ac:dyDescent="0.25">
      <c r="A2991" t="s">
        <v>6</v>
      </c>
      <c r="B2991" s="5" t="str">
        <f>HYPERLINK("http://www.broadinstitute.org/gsea/msigdb/cards/GOBP_REGULATION_OF_CHOLESTEROL_STORAGE.html","GOBP_REGULATION_OF_CHOLESTEROL_STORAGE")</f>
        <v>GOBP_REGULATION_OF_CHOLESTEROL_STORAGE</v>
      </c>
      <c r="C2991" s="4">
        <v>22</v>
      </c>
      <c r="D2991" s="3">
        <v>1.1121190000000001</v>
      </c>
      <c r="E2991" s="1">
        <v>0.29280820000000002</v>
      </c>
      <c r="F2991" s="2">
        <v>0.41355950000000002</v>
      </c>
    </row>
    <row r="2992" spans="1:6" x14ac:dyDescent="0.25">
      <c r="A2992" t="s">
        <v>6</v>
      </c>
      <c r="B2992" s="5" t="str">
        <f>HYPERLINK("http://www.broadinstitute.org/gsea/msigdb/cards/GOBP_DOPAMINE_BIOSYNTHETIC_PROCESS.html","GOBP_DOPAMINE_BIOSYNTHETIC_PROCESS")</f>
        <v>GOBP_DOPAMINE_BIOSYNTHETIC_PROCESS</v>
      </c>
      <c r="C2992" s="4">
        <v>16</v>
      </c>
      <c r="D2992" s="3">
        <v>1.1117026999999999</v>
      </c>
      <c r="E2992" s="1">
        <v>0.32116790000000001</v>
      </c>
      <c r="F2992" s="2">
        <v>0.41427355999999999</v>
      </c>
    </row>
    <row r="2993" spans="1:6" x14ac:dyDescent="0.25">
      <c r="A2993" t="s">
        <v>8</v>
      </c>
      <c r="B2993" s="5" t="str">
        <f>HYPERLINK("http://www.broadinstitute.org/gsea/msigdb/cards/GOMF_RETINAL_DEHYDROGENASE_ACTIVITY.html","GOMF_RETINAL_DEHYDROGENASE_ACTIVITY")</f>
        <v>GOMF_RETINAL_DEHYDROGENASE_ACTIVITY</v>
      </c>
      <c r="C2993" s="4">
        <v>18</v>
      </c>
      <c r="D2993" s="3">
        <v>1.1113523999999999</v>
      </c>
      <c r="E2993" s="1">
        <v>0.30068728</v>
      </c>
      <c r="F2993" s="2">
        <v>0.41483969999999998</v>
      </c>
    </row>
    <row r="2994" spans="1:6" x14ac:dyDescent="0.25">
      <c r="A2994" t="s">
        <v>7</v>
      </c>
      <c r="B2994" s="5" t="str">
        <f>HYPERLINK("http://www.broadinstitute.org/gsea/msigdb/cards/GOCC_TRANSPORT_VESICLE.html","GOCC_TRANSPORT_VESICLE")</f>
        <v>GOCC_TRANSPORT_VESICLE</v>
      </c>
      <c r="C2994" s="4">
        <v>359</v>
      </c>
      <c r="D2994" s="3">
        <v>1.1108855</v>
      </c>
      <c r="E2994" s="1">
        <v>0.19387755000000001</v>
      </c>
      <c r="F2994" s="2">
        <v>0.41566900000000001</v>
      </c>
    </row>
    <row r="2995" spans="1:6" x14ac:dyDescent="0.25">
      <c r="A2995" t="s">
        <v>6</v>
      </c>
      <c r="B2995" s="5" t="str">
        <f>HYPERLINK("http://www.broadinstitute.org/gsea/msigdb/cards/GOBP_EPITHELIAL_STRUCTURE_MAINTENANCE.html","GOBP_EPITHELIAL_STRUCTURE_MAINTENANCE")</f>
        <v>GOBP_EPITHELIAL_STRUCTURE_MAINTENANCE</v>
      </c>
      <c r="C2995" s="4">
        <v>29</v>
      </c>
      <c r="D2995" s="3">
        <v>1.1107395</v>
      </c>
      <c r="E2995" s="1">
        <v>0.29118136</v>
      </c>
      <c r="F2995" s="2">
        <v>0.41582735999999998</v>
      </c>
    </row>
    <row r="2996" spans="1:6" x14ac:dyDescent="0.25">
      <c r="A2996" t="s">
        <v>6</v>
      </c>
      <c r="B2996" s="5" t="str">
        <f>HYPERLINK("http://www.broadinstitute.org/gsea/msigdb/cards/GOBP_GLUCOCORTICOID_BIOSYNTHETIC_PROCESS.html","GOBP_GLUCOCORTICOID_BIOSYNTHETIC_PROCESS")</f>
        <v>GOBP_GLUCOCORTICOID_BIOSYNTHETIC_PROCESS</v>
      </c>
      <c r="C2996" s="4">
        <v>15</v>
      </c>
      <c r="D2996" s="3">
        <v>1.1106278000000001</v>
      </c>
      <c r="E2996" s="1">
        <v>0.33027524000000003</v>
      </c>
      <c r="F2996" s="2">
        <v>0.41591646999999998</v>
      </c>
    </row>
    <row r="2997" spans="1:6" x14ac:dyDescent="0.25">
      <c r="A2997" t="s">
        <v>10</v>
      </c>
      <c r="B2997" s="5" t="str">
        <f>HYPERLINK("http://www.broadinstitute.org/gsea/msigdb/cards/REACTOME_P75NTR_SIGNALS_VIA_NF_KB.html","REACTOME_P75NTR_SIGNALS_VIA_NF_KB")</f>
        <v>REACTOME_P75NTR_SIGNALS_VIA_NF_KB</v>
      </c>
      <c r="C2997" s="4">
        <v>16</v>
      </c>
      <c r="D2997" s="3">
        <v>1.1105050999999999</v>
      </c>
      <c r="E2997" s="1">
        <v>0.30375426999999999</v>
      </c>
      <c r="F2997" s="2">
        <v>0.4160374</v>
      </c>
    </row>
    <row r="2998" spans="1:6" x14ac:dyDescent="0.25">
      <c r="A2998" t="s">
        <v>6</v>
      </c>
      <c r="B2998" s="5" t="str">
        <f>HYPERLINK("http://www.broadinstitute.org/gsea/msigdb/cards/GOBP_RESPONSE_TO_RETINOIC_ACID.html","GOBP_RESPONSE_TO_RETINOIC_ACID")</f>
        <v>GOBP_RESPONSE_TO_RETINOIC_ACID</v>
      </c>
      <c r="C2998" s="4">
        <v>82</v>
      </c>
      <c r="D2998" s="3">
        <v>1.1100812</v>
      </c>
      <c r="E2998" s="1">
        <v>0.26349208000000002</v>
      </c>
      <c r="F2998" s="2">
        <v>0.41675547000000002</v>
      </c>
    </row>
    <row r="2999" spans="1:6" x14ac:dyDescent="0.25">
      <c r="A2999" t="s">
        <v>6</v>
      </c>
      <c r="B2999" s="5" t="str">
        <f>HYPERLINK("http://www.broadinstitute.org/gsea/msigdb/cards/GOBP_RIBONUCLEOSIDE_DIPHOSPHATE_METABOLIC_PROCESS.html","GOBP_RIBONUCLEOSIDE_DIPHOSPHATE_METABOLIC_PROCESS")</f>
        <v>GOBP_RIBONUCLEOSIDE_DIPHOSPHATE_METABOLIC_PROCESS</v>
      </c>
      <c r="C2999" s="4">
        <v>24</v>
      </c>
      <c r="D2999" s="3">
        <v>1.1098627999999999</v>
      </c>
      <c r="E2999" s="1">
        <v>0.30866426000000002</v>
      </c>
      <c r="F2999" s="2">
        <v>0.41707610000000001</v>
      </c>
    </row>
    <row r="3000" spans="1:6" x14ac:dyDescent="0.25">
      <c r="A3000" t="s">
        <v>6</v>
      </c>
      <c r="B3000" s="5" t="str">
        <f>HYPERLINK("http://www.broadinstitute.org/gsea/msigdb/cards/GOBP_PLACENTA_BLOOD_VESSEL_DEVELOPMENT.html","GOBP_PLACENTA_BLOOD_VESSEL_DEVELOPMENT")</f>
        <v>GOBP_PLACENTA_BLOOD_VESSEL_DEVELOPMENT</v>
      </c>
      <c r="C3000" s="4">
        <v>36</v>
      </c>
      <c r="D3000" s="3">
        <v>1.1097645</v>
      </c>
      <c r="E3000" s="1">
        <v>0.28667789999999999</v>
      </c>
      <c r="F3000" s="2">
        <v>0.41715437</v>
      </c>
    </row>
    <row r="3001" spans="1:6" x14ac:dyDescent="0.25">
      <c r="A3001" t="s">
        <v>6</v>
      </c>
      <c r="B3001" s="5" t="str">
        <f>HYPERLINK("http://www.broadinstitute.org/gsea/msigdb/cards/GOBP_REGULATION_OF_ACTION_POTENTIAL.html","GOBP_REGULATION_OF_ACTION_POTENTIAL")</f>
        <v>GOBP_REGULATION_OF_ACTION_POTENTIAL</v>
      </c>
      <c r="C3001" s="4">
        <v>69</v>
      </c>
      <c r="D3001" s="3">
        <v>1.1097634999999999</v>
      </c>
      <c r="E3001" s="1">
        <v>0.26813880000000001</v>
      </c>
      <c r="F3001" s="2">
        <v>0.41701811999999999</v>
      </c>
    </row>
    <row r="3002" spans="1:6" x14ac:dyDescent="0.25">
      <c r="A3002" t="s">
        <v>6</v>
      </c>
      <c r="B3002" s="5" t="str">
        <f>HYPERLINK("http://www.broadinstitute.org/gsea/msigdb/cards/GOBP_LIPOSACCHARIDE_METABOLIC_PROCESS.html","GOBP_LIPOSACCHARIDE_METABOLIC_PROCESS")</f>
        <v>GOBP_LIPOSACCHARIDE_METABOLIC_PROCESS</v>
      </c>
      <c r="C3002" s="4">
        <v>94</v>
      </c>
      <c r="D3002" s="3">
        <v>1.1096741999999999</v>
      </c>
      <c r="E3002" s="1">
        <v>0.25333333000000002</v>
      </c>
      <c r="F3002" s="2">
        <v>0.41706525999999999</v>
      </c>
    </row>
    <row r="3003" spans="1:6" x14ac:dyDescent="0.25">
      <c r="A3003" t="s">
        <v>8</v>
      </c>
      <c r="B3003" s="5" t="str">
        <f>HYPERLINK("http://www.broadinstitute.org/gsea/msigdb/cards/GOMF_ORGANIC_ACID_TRANSMEMBRANE_TRANSPORTER_ACTIVITY.html","GOMF_ORGANIC_ACID_TRANSMEMBRANE_TRANSPORTER_ACTIVITY")</f>
        <v>GOMF_ORGANIC_ACID_TRANSMEMBRANE_TRANSPORTER_ACTIVITY</v>
      </c>
      <c r="C3003" s="4">
        <v>164</v>
      </c>
      <c r="D3003" s="3">
        <v>1.109335</v>
      </c>
      <c r="E3003" s="1">
        <v>0.23884891999999999</v>
      </c>
      <c r="F3003" s="2">
        <v>0.41762513000000001</v>
      </c>
    </row>
    <row r="3004" spans="1:6" x14ac:dyDescent="0.25">
      <c r="A3004" t="s">
        <v>6</v>
      </c>
      <c r="B3004" s="5" t="str">
        <f>HYPERLINK("http://www.broadinstitute.org/gsea/msigdb/cards/GOBP_NEGATIVE_REGULATION_OF_GROWTH.html","GOBP_NEGATIVE_REGULATION_OF_GROWTH")</f>
        <v>GOBP_NEGATIVE_REGULATION_OF_GROWTH</v>
      </c>
      <c r="C3004" s="4">
        <v>257</v>
      </c>
      <c r="D3004" s="3">
        <v>1.1086366000000001</v>
      </c>
      <c r="E3004" s="1">
        <v>0.20868348</v>
      </c>
      <c r="F3004" s="2">
        <v>0.41890568</v>
      </c>
    </row>
    <row r="3005" spans="1:6" x14ac:dyDescent="0.25">
      <c r="A3005" t="s">
        <v>6</v>
      </c>
      <c r="B3005" s="5" t="str">
        <f>HYPERLINK("http://www.broadinstitute.org/gsea/msigdb/cards/GOBP_POSITIVE_REGULATION_OF_PLASMA_MEMBRANE_BOUNDED_CELL_PROJECTION_ASSEMBLY.html","GOBP_POSITIVE_REGULATION_OF_PLASMA_MEMBRANE_BOUNDED_CELL_PROJECTION_ASSEMBLY")</f>
        <v>GOBP_POSITIVE_REGULATION_OF_PLASMA_MEMBRANE_BOUNDED_CELL_PROJECTION_ASSEMBLY</v>
      </c>
      <c r="C3005" s="4">
        <v>112</v>
      </c>
      <c r="D3005" s="3">
        <v>1.1085365</v>
      </c>
      <c r="E3005" s="1">
        <v>0.26546004000000001</v>
      </c>
      <c r="F3005" s="2">
        <v>0.41896867999999998</v>
      </c>
    </row>
    <row r="3006" spans="1:6" x14ac:dyDescent="0.25">
      <c r="A3006" t="s">
        <v>5</v>
      </c>
      <c r="B3006" s="5" t="str">
        <f>HYPERLINK("http://www.broadinstitute.org/gsea/msigdb/cards/BIOCARTA_RAS_PATHWAY.html","BIOCARTA_RAS_PATHWAY")</f>
        <v>BIOCARTA_RAS_PATHWAY</v>
      </c>
      <c r="C3006" s="4">
        <v>21</v>
      </c>
      <c r="D3006" s="3">
        <v>1.1083913000000001</v>
      </c>
      <c r="E3006" s="1">
        <v>0.3200692</v>
      </c>
      <c r="F3006" s="2">
        <v>0.41912361999999997</v>
      </c>
    </row>
    <row r="3007" spans="1:6" x14ac:dyDescent="0.25">
      <c r="A3007" t="s">
        <v>6</v>
      </c>
      <c r="B3007" s="5" t="str">
        <f>HYPERLINK("http://www.broadinstitute.org/gsea/msigdb/cards/GOBP_REGULATION_OF_FATTY_ACID_OXIDATION.html","GOBP_REGULATION_OF_FATTY_ACID_OXIDATION")</f>
        <v>GOBP_REGULATION_OF_FATTY_ACID_OXIDATION</v>
      </c>
      <c r="C3007" s="4">
        <v>42</v>
      </c>
      <c r="D3007" s="3">
        <v>1.1081988</v>
      </c>
      <c r="E3007" s="1">
        <v>0.27569329999999997</v>
      </c>
      <c r="F3007" s="2">
        <v>0.41939147999999998</v>
      </c>
    </row>
    <row r="3008" spans="1:6" x14ac:dyDescent="0.25">
      <c r="A3008" t="s">
        <v>10</v>
      </c>
      <c r="B3008" s="5" t="str">
        <f>HYPERLINK("http://www.broadinstitute.org/gsea/msigdb/cards/REACTOME_FGFR2_LIGAND_BINDING_AND_ACTIVATION.html","REACTOME_FGFR2_LIGAND_BINDING_AND_ACTIVATION")</f>
        <v>REACTOME_FGFR2_LIGAND_BINDING_AND_ACTIVATION</v>
      </c>
      <c r="C3008" s="4">
        <v>18</v>
      </c>
      <c r="D3008" s="3">
        <v>1.1080353999999999</v>
      </c>
      <c r="E3008" s="1">
        <v>0.31059247000000001</v>
      </c>
      <c r="F3008" s="2">
        <v>0.41956785000000002</v>
      </c>
    </row>
    <row r="3009" spans="1:6" x14ac:dyDescent="0.25">
      <c r="A3009" t="s">
        <v>6</v>
      </c>
      <c r="B3009" s="5" t="str">
        <f>HYPERLINK("http://www.broadinstitute.org/gsea/msigdb/cards/GOBP_AXON_EXTENSION.html","GOBP_AXON_EXTENSION")</f>
        <v>GOBP_AXON_EXTENSION</v>
      </c>
      <c r="C3009" s="4">
        <v>140</v>
      </c>
      <c r="D3009" s="3">
        <v>1.1079572</v>
      </c>
      <c r="E3009" s="1">
        <v>0.2533532</v>
      </c>
      <c r="F3009" s="2">
        <v>0.41960317000000003</v>
      </c>
    </row>
    <row r="3010" spans="1:6" x14ac:dyDescent="0.25">
      <c r="A3010" t="s">
        <v>6</v>
      </c>
      <c r="B3010" s="5" t="str">
        <f>HYPERLINK("http://www.broadinstitute.org/gsea/msigdb/cards/GOBP_MUSCLE_CELL_DIFFERENTIATION.html","GOBP_MUSCLE_CELL_DIFFERENTIATION")</f>
        <v>GOBP_MUSCLE_CELL_DIFFERENTIATION</v>
      </c>
      <c r="C3010" s="4">
        <v>449</v>
      </c>
      <c r="D3010" s="3">
        <v>1.1077319999999999</v>
      </c>
      <c r="E3010" s="1">
        <v>0.17733989999999999</v>
      </c>
      <c r="F3010" s="2">
        <v>0.4199426</v>
      </c>
    </row>
    <row r="3011" spans="1:6" x14ac:dyDescent="0.25">
      <c r="A3011" t="s">
        <v>10</v>
      </c>
      <c r="B3011" s="5" t="str">
        <f>HYPERLINK("http://www.broadinstitute.org/gsea/msigdb/cards/REACTOME_ENDOGENOUS_STEROLS.html","REACTOME_ENDOGENOUS_STEROLS")</f>
        <v>REACTOME_ENDOGENOUS_STEROLS</v>
      </c>
      <c r="C3011" s="4">
        <v>25</v>
      </c>
      <c r="D3011" s="3">
        <v>1.1076968</v>
      </c>
      <c r="E3011" s="1">
        <v>0.3110368</v>
      </c>
      <c r="F3011" s="2">
        <v>0.419879</v>
      </c>
    </row>
    <row r="3012" spans="1:6" x14ac:dyDescent="0.25">
      <c r="A3012" t="s">
        <v>6</v>
      </c>
      <c r="B3012" s="5" t="str">
        <f>HYPERLINK("http://www.broadinstitute.org/gsea/msigdb/cards/GOBP_DICARBOXYLIC_ACID_METABOLIC_PROCESS.html","GOBP_DICARBOXYLIC_ACID_METABOLIC_PROCESS")</f>
        <v>GOBP_DICARBOXYLIC_ACID_METABOLIC_PROCESS</v>
      </c>
      <c r="C3012" s="4">
        <v>95</v>
      </c>
      <c r="D3012" s="3">
        <v>1.1069609</v>
      </c>
      <c r="E3012" s="1">
        <v>0.26139816999999999</v>
      </c>
      <c r="F3012" s="2">
        <v>0.42127155999999999</v>
      </c>
    </row>
    <row r="3013" spans="1:6" x14ac:dyDescent="0.25">
      <c r="A3013" t="s">
        <v>6</v>
      </c>
      <c r="B3013" s="5" t="str">
        <f>HYPERLINK("http://www.broadinstitute.org/gsea/msigdb/cards/GOBP_REGULATION_OF_PHOSPHATASE_ACTIVITY.html","GOBP_REGULATION_OF_PHOSPHATASE_ACTIVITY")</f>
        <v>GOBP_REGULATION_OF_PHOSPHATASE_ACTIVITY</v>
      </c>
      <c r="C3013" s="4">
        <v>77</v>
      </c>
      <c r="D3013" s="3">
        <v>1.1055727</v>
      </c>
      <c r="E3013" s="1">
        <v>0.27386539999999998</v>
      </c>
      <c r="F3013" s="2">
        <v>0.42395493000000001</v>
      </c>
    </row>
    <row r="3014" spans="1:6" x14ac:dyDescent="0.25">
      <c r="A3014" t="s">
        <v>6</v>
      </c>
      <c r="B3014" s="5" t="str">
        <f>HYPERLINK("http://www.broadinstitute.org/gsea/msigdb/cards/GOBP_SULFUR_COMPOUND_BIOSYNTHETIC_PROCESS.html","GOBP_SULFUR_COMPOUND_BIOSYNTHETIC_PROCESS")</f>
        <v>GOBP_SULFUR_COMPOUND_BIOSYNTHETIC_PROCESS</v>
      </c>
      <c r="C3014" s="4">
        <v>115</v>
      </c>
      <c r="D3014" s="3">
        <v>1.1053603000000001</v>
      </c>
      <c r="E3014" s="1">
        <v>0.25773193999999999</v>
      </c>
      <c r="F3014" s="2">
        <v>0.42424420000000002</v>
      </c>
    </row>
    <row r="3015" spans="1:6" x14ac:dyDescent="0.25">
      <c r="A3015" t="s">
        <v>6</v>
      </c>
      <c r="B3015" s="5" t="str">
        <f>HYPERLINK("http://www.broadinstitute.org/gsea/msigdb/cards/GOBP_ORGANOPHOSPHATE_ESTER_TRANSPORT.html","GOBP_ORGANOPHOSPHATE_ESTER_TRANSPORT")</f>
        <v>GOBP_ORGANOPHOSPHATE_ESTER_TRANSPORT</v>
      </c>
      <c r="C3015" s="4">
        <v>129</v>
      </c>
      <c r="D3015" s="3">
        <v>1.1052808000000001</v>
      </c>
      <c r="E3015" s="1">
        <v>0.26375177999999999</v>
      </c>
      <c r="F3015" s="2">
        <v>0.42427245000000002</v>
      </c>
    </row>
    <row r="3016" spans="1:6" x14ac:dyDescent="0.25">
      <c r="A3016" t="s">
        <v>6</v>
      </c>
      <c r="B3016" s="5" t="str">
        <f>HYPERLINK("http://www.broadinstitute.org/gsea/msigdb/cards/GOBP_REGULATION_OF_NON_CANONICAL_WNT_SIGNALING_PATHWAY.html","GOBP_REGULATION_OF_NON_CANONICAL_WNT_SIGNALING_PATHWAY")</f>
        <v>GOBP_REGULATION_OF_NON_CANONICAL_WNT_SIGNALING_PATHWAY</v>
      </c>
      <c r="C3016" s="4">
        <v>25</v>
      </c>
      <c r="D3016" s="3">
        <v>1.1043988</v>
      </c>
      <c r="E3016" s="1">
        <v>0.32869565000000001</v>
      </c>
      <c r="F3016" s="2">
        <v>0.42605120000000002</v>
      </c>
    </row>
    <row r="3017" spans="1:6" x14ac:dyDescent="0.25">
      <c r="A3017" t="s">
        <v>6</v>
      </c>
      <c r="B3017" s="5" t="str">
        <f>HYPERLINK("http://www.broadinstitute.org/gsea/msigdb/cards/GOBP_WATER_SOLUBLE_VITAMIN_METABOLIC_PROCESS.html","GOBP_WATER_SOLUBLE_VITAMIN_METABOLIC_PROCESS")</f>
        <v>GOBP_WATER_SOLUBLE_VITAMIN_METABOLIC_PROCESS</v>
      </c>
      <c r="C3017" s="4">
        <v>49</v>
      </c>
      <c r="D3017" s="3">
        <v>1.1043082</v>
      </c>
      <c r="E3017" s="1">
        <v>0.31612902999999998</v>
      </c>
      <c r="F3017" s="2">
        <v>0.42609720000000001</v>
      </c>
    </row>
    <row r="3018" spans="1:6" x14ac:dyDescent="0.25">
      <c r="A3018" t="s">
        <v>6</v>
      </c>
      <c r="B3018" s="5" t="str">
        <f>HYPERLINK("http://www.broadinstitute.org/gsea/msigdb/cards/GOBP_NEGATIVE_REGULATION_OF_PROTEIN_CONTAINING_COMPLEX_DISASSEMBLY.html","GOBP_NEGATIVE_REGULATION_OF_PROTEIN_CONTAINING_COMPLEX_DISASSEMBLY")</f>
        <v>GOBP_NEGATIVE_REGULATION_OF_PROTEIN_CONTAINING_COMPLEX_DISASSEMBLY</v>
      </c>
      <c r="C3018" s="4">
        <v>91</v>
      </c>
      <c r="D3018" s="3">
        <v>1.1041543</v>
      </c>
      <c r="E3018" s="1">
        <v>0.27932098999999999</v>
      </c>
      <c r="F3018" s="2">
        <v>0.42626586999999999</v>
      </c>
    </row>
    <row r="3019" spans="1:6" x14ac:dyDescent="0.25">
      <c r="A3019" t="s">
        <v>6</v>
      </c>
      <c r="B3019" s="5" t="str">
        <f>HYPERLINK("http://www.broadinstitute.org/gsea/msigdb/cards/GOBP_REGULATION_OF_PEROXISOME_PROLIFERATOR_ACTIVATED_RECEPTOR_SIGNALING_PATHWAY.html","GOBP_REGULATION_OF_PEROXISOME_PROLIFERATOR_ACTIVATED_RECEPTOR_SIGNALING_PATHWAY")</f>
        <v>GOBP_REGULATION_OF_PEROXISOME_PROLIFERATOR_ACTIVATED_RECEPTOR_SIGNALING_PATHWAY</v>
      </c>
      <c r="C3019" s="4">
        <v>16</v>
      </c>
      <c r="D3019" s="3">
        <v>1.1040228999999999</v>
      </c>
      <c r="E3019" s="1">
        <v>0.30496454000000001</v>
      </c>
      <c r="F3019" s="2">
        <v>0.42640359999999999</v>
      </c>
    </row>
    <row r="3020" spans="1:6" x14ac:dyDescent="0.25">
      <c r="A3020" t="s">
        <v>6</v>
      </c>
      <c r="B3020" s="5" t="str">
        <f>HYPERLINK("http://www.broadinstitute.org/gsea/msigdb/cards/GOBP_AUDITORY_RECEPTOR_CELL_DEVELOPMENT.html","GOBP_AUDITORY_RECEPTOR_CELL_DEVELOPMENT")</f>
        <v>GOBP_AUDITORY_RECEPTOR_CELL_DEVELOPMENT</v>
      </c>
      <c r="C3020" s="4">
        <v>34</v>
      </c>
      <c r="D3020" s="3">
        <v>1.1039405</v>
      </c>
      <c r="E3020" s="1">
        <v>0.31460675999999999</v>
      </c>
      <c r="F3020" s="2">
        <v>0.42644385000000001</v>
      </c>
    </row>
    <row r="3021" spans="1:6" x14ac:dyDescent="0.25">
      <c r="A3021" t="s">
        <v>6</v>
      </c>
      <c r="B3021" s="5" t="str">
        <f>HYPERLINK("http://www.broadinstitute.org/gsea/msigdb/cards/GOBP_EPITHELIAL_TUBE_BRANCHING_INVOLVED_IN_LUNG_MORPHOGENESIS.html","GOBP_EPITHELIAL_TUBE_BRANCHING_INVOLVED_IN_LUNG_MORPHOGENESIS")</f>
        <v>GOBP_EPITHELIAL_TUBE_BRANCHING_INVOLVED_IN_LUNG_MORPHOGENESIS</v>
      </c>
      <c r="C3021" s="4">
        <v>40</v>
      </c>
      <c r="D3021" s="3">
        <v>1.1039053999999999</v>
      </c>
      <c r="E3021" s="1">
        <v>0.30188680000000001</v>
      </c>
      <c r="F3021" s="2">
        <v>0.42636805999999999</v>
      </c>
    </row>
    <row r="3022" spans="1:6" x14ac:dyDescent="0.25">
      <c r="A3022" t="s">
        <v>11</v>
      </c>
      <c r="B3022" s="5" t="str">
        <f>HYPERLINK("http://www.broadinstitute.org/gsea/msigdb/cards/WP_MONOAMINE_GPCRS.html","WP_MONOAMINE_GPCRS")</f>
        <v>WP_MONOAMINE_GPCRS</v>
      </c>
      <c r="C3022" s="4">
        <v>31</v>
      </c>
      <c r="D3022" s="3">
        <v>1.1038600000000001</v>
      </c>
      <c r="E3022" s="1">
        <v>0.30960854999999998</v>
      </c>
      <c r="F3022" s="2">
        <v>0.42632502</v>
      </c>
    </row>
    <row r="3023" spans="1:6" x14ac:dyDescent="0.25">
      <c r="A3023" t="s">
        <v>8</v>
      </c>
      <c r="B3023" s="5" t="str">
        <f>HYPERLINK("http://www.broadinstitute.org/gsea/msigdb/cards/GOMF_CLATHRIN_BINDING.html","GOMF_CLATHRIN_BINDING")</f>
        <v>GOMF_CLATHRIN_BINDING</v>
      </c>
      <c r="C3023" s="4">
        <v>68</v>
      </c>
      <c r="D3023" s="3">
        <v>1.1035402000000001</v>
      </c>
      <c r="E3023" s="1">
        <v>0.26905129999999999</v>
      </c>
      <c r="F3023" s="2">
        <v>0.42684558</v>
      </c>
    </row>
    <row r="3024" spans="1:6" x14ac:dyDescent="0.25">
      <c r="A3024" t="s">
        <v>6</v>
      </c>
      <c r="B3024" s="5" t="str">
        <f>HYPERLINK("http://www.broadinstitute.org/gsea/msigdb/cards/GOBP_POSITIVE_REGULATION_OF_CYTOSKELETON_ORGANIZATION.html","GOBP_POSITIVE_REGULATION_OF_CYTOSKELETON_ORGANIZATION")</f>
        <v>GOBP_POSITIVE_REGULATION_OF_CYTOSKELETON_ORGANIZATION</v>
      </c>
      <c r="C3024" s="4">
        <v>187</v>
      </c>
      <c r="D3024" s="3">
        <v>1.1032310000000001</v>
      </c>
      <c r="E3024" s="1">
        <v>0.23098590999999999</v>
      </c>
      <c r="F3024" s="2">
        <v>0.42734146000000001</v>
      </c>
    </row>
    <row r="3025" spans="1:6" x14ac:dyDescent="0.25">
      <c r="A3025" t="s">
        <v>5</v>
      </c>
      <c r="B3025" s="5" t="str">
        <f>HYPERLINK("http://www.broadinstitute.org/gsea/msigdb/cards/BIOCARTA_GH_PATHWAY.html","BIOCARTA_GH_PATHWAY")</f>
        <v>BIOCARTA_GH_PATHWAY</v>
      </c>
      <c r="C3025" s="4">
        <v>27</v>
      </c>
      <c r="D3025" s="3">
        <v>1.1031314999999999</v>
      </c>
      <c r="E3025" s="1">
        <v>0.30085469999999997</v>
      </c>
      <c r="F3025" s="2">
        <v>0.42739381999999998</v>
      </c>
    </row>
    <row r="3026" spans="1:6" x14ac:dyDescent="0.25">
      <c r="A3026" t="s">
        <v>10</v>
      </c>
      <c r="B3026" s="5" t="str">
        <f>HYPERLINK("http://www.broadinstitute.org/gsea/msigdb/cards/REACTOME_INTRA_GOLGI_AND_RETROGRADE_GOLGI_TO_ER_TRAFFIC.html","REACTOME_INTRA_GOLGI_AND_RETROGRADE_GOLGI_TO_ER_TRAFFIC")</f>
        <v>REACTOME_INTRA_GOLGI_AND_RETROGRADE_GOLGI_TO_ER_TRAFFIC</v>
      </c>
      <c r="C3026" s="4">
        <v>183</v>
      </c>
      <c r="D3026" s="3">
        <v>1.1023109</v>
      </c>
      <c r="E3026" s="1">
        <v>0.23554913999999999</v>
      </c>
      <c r="F3026" s="2">
        <v>0.42895552999999997</v>
      </c>
    </row>
    <row r="3027" spans="1:6" x14ac:dyDescent="0.25">
      <c r="A3027" t="s">
        <v>6</v>
      </c>
      <c r="B3027" s="5" t="str">
        <f>HYPERLINK("http://www.broadinstitute.org/gsea/msigdb/cards/GOBP_MEMBRANE_BIOGENESIS.html","GOBP_MEMBRANE_BIOGENESIS")</f>
        <v>GOBP_MEMBRANE_BIOGENESIS</v>
      </c>
      <c r="C3027" s="4">
        <v>60</v>
      </c>
      <c r="D3027" s="3">
        <v>1.1021114999999999</v>
      </c>
      <c r="E3027" s="1">
        <v>0.29538461999999999</v>
      </c>
      <c r="F3027" s="2">
        <v>0.42923509999999998</v>
      </c>
    </row>
    <row r="3028" spans="1:6" x14ac:dyDescent="0.25">
      <c r="A3028" t="s">
        <v>6</v>
      </c>
      <c r="B3028" s="5" t="str">
        <f>HYPERLINK("http://www.broadinstitute.org/gsea/msigdb/cards/GOBP_NEGATIVE_REGULATION_OF_PEPTIDYL_SERINE_PHOSPHORYLATION.html","GOBP_NEGATIVE_REGULATION_OF_PEPTIDYL_SERINE_PHOSPHORYLATION")</f>
        <v>GOBP_NEGATIVE_REGULATION_OF_PEPTIDYL_SERINE_PHOSPHORYLATION</v>
      </c>
      <c r="C3028" s="4">
        <v>30</v>
      </c>
      <c r="D3028" s="3">
        <v>1.1019053000000001</v>
      </c>
      <c r="E3028" s="1">
        <v>0.30383974000000002</v>
      </c>
      <c r="F3028" s="2">
        <v>0.42952663000000002</v>
      </c>
    </row>
    <row r="3029" spans="1:6" x14ac:dyDescent="0.25">
      <c r="A3029" t="s">
        <v>6</v>
      </c>
      <c r="B3029" s="5" t="str">
        <f>HYPERLINK("http://www.broadinstitute.org/gsea/msigdb/cards/GOBP_POSITIVE_REGULATION_OF_INTRACELLULAR_PROTEIN_TRANSPORT.html","GOBP_POSITIVE_REGULATION_OF_INTRACELLULAR_PROTEIN_TRANSPORT")</f>
        <v>GOBP_POSITIVE_REGULATION_OF_INTRACELLULAR_PROTEIN_TRANSPORT</v>
      </c>
      <c r="C3029" s="4">
        <v>146</v>
      </c>
      <c r="D3029" s="3">
        <v>1.1018794000000001</v>
      </c>
      <c r="E3029" s="1">
        <v>0.25574713999999998</v>
      </c>
      <c r="F3029" s="2">
        <v>0.42943946</v>
      </c>
    </row>
    <row r="3030" spans="1:6" x14ac:dyDescent="0.25">
      <c r="A3030" t="s">
        <v>6</v>
      </c>
      <c r="B3030" s="5" t="str">
        <f>HYPERLINK("http://www.broadinstitute.org/gsea/msigdb/cards/GOBP_MRNA_3_END_PROCESSING.html","GOBP_MRNA_3_END_PROCESSING")</f>
        <v>GOBP_MRNA_3_END_PROCESSING</v>
      </c>
      <c r="C3030" s="4">
        <v>52</v>
      </c>
      <c r="D3030" s="3">
        <v>1.1016189000000001</v>
      </c>
      <c r="E3030" s="1">
        <v>0.28930820000000002</v>
      </c>
      <c r="F3030" s="2">
        <v>0.42983112000000001</v>
      </c>
    </row>
    <row r="3031" spans="1:6" x14ac:dyDescent="0.25">
      <c r="A3031" t="s">
        <v>6</v>
      </c>
      <c r="B3031" s="5" t="str">
        <f>HYPERLINK("http://www.broadinstitute.org/gsea/msigdb/cards/GOBP_REGULATION_OF_ATP_BIOSYNTHETIC_PROCESS.html","GOBP_REGULATION_OF_ATP_BIOSYNTHETIC_PROCESS")</f>
        <v>GOBP_REGULATION_OF_ATP_BIOSYNTHETIC_PROCESS</v>
      </c>
      <c r="C3031" s="4">
        <v>24</v>
      </c>
      <c r="D3031" s="3">
        <v>1.1011233</v>
      </c>
      <c r="E3031" s="1">
        <v>0.33333333999999998</v>
      </c>
      <c r="F3031" s="2">
        <v>0.43074790000000002</v>
      </c>
    </row>
    <row r="3032" spans="1:6" x14ac:dyDescent="0.25">
      <c r="A3032" t="s">
        <v>6</v>
      </c>
      <c r="B3032" s="5" t="str">
        <f>HYPERLINK("http://www.broadinstitute.org/gsea/msigdb/cards/GOBP_MESENCHYME_MORPHOGENESIS.html","GOBP_MESENCHYME_MORPHOGENESIS")</f>
        <v>GOBP_MESENCHYME_MORPHOGENESIS</v>
      </c>
      <c r="C3032" s="4">
        <v>59</v>
      </c>
      <c r="D3032" s="3">
        <v>1.1010362</v>
      </c>
      <c r="E3032" s="1">
        <v>0.29431437999999999</v>
      </c>
      <c r="F3032" s="2">
        <v>0.43078643</v>
      </c>
    </row>
    <row r="3033" spans="1:6" x14ac:dyDescent="0.25">
      <c r="A3033" t="s">
        <v>6</v>
      </c>
      <c r="B3033" s="5" t="str">
        <f>HYPERLINK("http://www.broadinstitute.org/gsea/msigdb/cards/GOBP_ISOTYPE_SWITCHING_TO_IGG_ISOTYPES.html","GOBP_ISOTYPE_SWITCHING_TO_IGG_ISOTYPES")</f>
        <v>GOBP_ISOTYPE_SWITCHING_TO_IGG_ISOTYPES</v>
      </c>
      <c r="C3033" s="4">
        <v>17</v>
      </c>
      <c r="D3033" s="3">
        <v>1.1006218000000001</v>
      </c>
      <c r="E3033" s="1">
        <v>0.31046312999999998</v>
      </c>
      <c r="F3033" s="2">
        <v>0.43151919999999999</v>
      </c>
    </row>
    <row r="3034" spans="1:6" x14ac:dyDescent="0.25">
      <c r="A3034" t="s">
        <v>8</v>
      </c>
      <c r="B3034" s="5" t="str">
        <f>HYPERLINK("http://www.broadinstitute.org/gsea/msigdb/cards/GOMF_PROTEIN_KINASE_C_ACTIVITY.html","GOMF_PROTEIN_KINASE_C_ACTIVITY")</f>
        <v>GOMF_PROTEIN_KINASE_C_ACTIVITY</v>
      </c>
      <c r="C3034" s="4">
        <v>16</v>
      </c>
      <c r="D3034" s="3">
        <v>1.1003627</v>
      </c>
      <c r="E3034" s="1">
        <v>0.33020635999999998</v>
      </c>
      <c r="F3034" s="2">
        <v>0.43191054000000001</v>
      </c>
    </row>
    <row r="3035" spans="1:6" x14ac:dyDescent="0.25">
      <c r="A3035" t="s">
        <v>6</v>
      </c>
      <c r="B3035" s="5" t="str">
        <f>HYPERLINK("http://www.broadinstitute.org/gsea/msigdb/cards/GOBP_PROTEIN_DEPHOSPHORYLATION.html","GOBP_PROTEIN_DEPHOSPHORYLATION")</f>
        <v>GOBP_PROTEIN_DEPHOSPHORYLATION</v>
      </c>
      <c r="C3035" s="4">
        <v>226</v>
      </c>
      <c r="D3035" s="3">
        <v>1.1003025</v>
      </c>
      <c r="E3035" s="1">
        <v>0.21546961000000001</v>
      </c>
      <c r="F3035" s="2">
        <v>0.43189713000000002</v>
      </c>
    </row>
    <row r="3036" spans="1:6" x14ac:dyDescent="0.25">
      <c r="A3036" t="s">
        <v>6</v>
      </c>
      <c r="B3036" s="5" t="str">
        <f>HYPERLINK("http://www.broadinstitute.org/gsea/msigdb/cards/GOBP_REGULATION_OF_VOLTAGE_GATED_CALCIUM_CHANNEL_ACTIVITY.html","GOBP_REGULATION_OF_VOLTAGE_GATED_CALCIUM_CHANNEL_ACTIVITY")</f>
        <v>GOBP_REGULATION_OF_VOLTAGE_GATED_CALCIUM_CHANNEL_ACTIVITY</v>
      </c>
      <c r="C3036" s="4">
        <v>42</v>
      </c>
      <c r="D3036" s="3">
        <v>1.1001167000000001</v>
      </c>
      <c r="E3036" s="1">
        <v>0.3025641</v>
      </c>
      <c r="F3036" s="2">
        <v>0.43213766999999997</v>
      </c>
    </row>
    <row r="3037" spans="1:6" x14ac:dyDescent="0.25">
      <c r="A3037" t="s">
        <v>6</v>
      </c>
      <c r="B3037" s="5" t="str">
        <f>HYPERLINK("http://www.broadinstitute.org/gsea/msigdb/cards/GOBP_LIPID_DIGESTION.html","GOBP_LIPID_DIGESTION")</f>
        <v>GOBP_LIPID_DIGESTION</v>
      </c>
      <c r="C3037" s="4">
        <v>20</v>
      </c>
      <c r="D3037" s="3">
        <v>1.1000304000000001</v>
      </c>
      <c r="E3037" s="1">
        <v>0.32761576999999997</v>
      </c>
      <c r="F3037" s="2">
        <v>0.43218025999999998</v>
      </c>
    </row>
    <row r="3038" spans="1:6" x14ac:dyDescent="0.25">
      <c r="A3038" t="s">
        <v>6</v>
      </c>
      <c r="B3038" s="5" t="str">
        <f>HYPERLINK("http://www.broadinstitute.org/gsea/msigdb/cards/GOBP_PHASIC_SMOOTH_MUSCLE_CONTRACTION.html","GOBP_PHASIC_SMOOTH_MUSCLE_CONTRACTION")</f>
        <v>GOBP_PHASIC_SMOOTH_MUSCLE_CONTRACTION</v>
      </c>
      <c r="C3038" s="4">
        <v>29</v>
      </c>
      <c r="D3038" s="3">
        <v>1.0999863000000001</v>
      </c>
      <c r="E3038" s="1">
        <v>0.31428572999999999</v>
      </c>
      <c r="F3038" s="2">
        <v>0.43212887999999999</v>
      </c>
    </row>
    <row r="3039" spans="1:6" x14ac:dyDescent="0.25">
      <c r="A3039" t="s">
        <v>6</v>
      </c>
      <c r="B3039" s="5" t="str">
        <f>HYPERLINK("http://www.broadinstitute.org/gsea/msigdb/cards/GOBP_DOPAMINERGIC_NEURON_DIFFERENTIATION.html","GOBP_DOPAMINERGIC_NEURON_DIFFERENTIATION")</f>
        <v>GOBP_DOPAMINERGIC_NEURON_DIFFERENTIATION</v>
      </c>
      <c r="C3039" s="4">
        <v>46</v>
      </c>
      <c r="D3039" s="3">
        <v>1.0999034999999999</v>
      </c>
      <c r="E3039" s="1">
        <v>0.3084577</v>
      </c>
      <c r="F3039" s="2">
        <v>0.43215793000000002</v>
      </c>
    </row>
    <row r="3040" spans="1:6" x14ac:dyDescent="0.25">
      <c r="A3040" t="s">
        <v>6</v>
      </c>
      <c r="B3040" s="5" t="str">
        <f>HYPERLINK("http://www.broadinstitute.org/gsea/msigdb/cards/GOBP_REGULATION_OF_SYNAPTIC_VESICLE_CYCLE.html","GOBP_REGULATION_OF_SYNAPTIC_VESICLE_CYCLE")</f>
        <v>GOBP_REGULATION_OF_SYNAPTIC_VESICLE_CYCLE</v>
      </c>
      <c r="C3040" s="4">
        <v>17</v>
      </c>
      <c r="D3040" s="3">
        <v>1.0990845</v>
      </c>
      <c r="E3040" s="1">
        <v>0.32100840000000003</v>
      </c>
      <c r="F3040" s="2">
        <v>0.43374089999999998</v>
      </c>
    </row>
    <row r="3041" spans="1:6" x14ac:dyDescent="0.25">
      <c r="A3041" t="s">
        <v>6</v>
      </c>
      <c r="B3041" s="5" t="str">
        <f>HYPERLINK("http://www.broadinstitute.org/gsea/msigdb/cards/GOBP_NEGATIVE_REGULATION_OF_RECEPTOR_INTERNALIZATION.html","GOBP_NEGATIVE_REGULATION_OF_RECEPTOR_INTERNALIZATION")</f>
        <v>GOBP_NEGATIVE_REGULATION_OF_RECEPTOR_INTERNALIZATION</v>
      </c>
      <c r="C3041" s="4">
        <v>16</v>
      </c>
      <c r="D3041" s="3">
        <v>1.0990669</v>
      </c>
      <c r="E3041" s="1">
        <v>0.33743408000000003</v>
      </c>
      <c r="F3041" s="2">
        <v>0.43362909999999999</v>
      </c>
    </row>
    <row r="3042" spans="1:6" x14ac:dyDescent="0.25">
      <c r="A3042" t="s">
        <v>6</v>
      </c>
      <c r="B3042" s="5" t="str">
        <f>HYPERLINK("http://www.broadinstitute.org/gsea/msigdb/cards/GOBP_RESPONSE_TO_CADMIUM_ION.html","GOBP_RESPONSE_TO_CADMIUM_ION")</f>
        <v>GOBP_RESPONSE_TO_CADMIUM_ION</v>
      </c>
      <c r="C3042" s="4">
        <v>38</v>
      </c>
      <c r="D3042" s="3">
        <v>1.0982498999999999</v>
      </c>
      <c r="E3042" s="1">
        <v>0.32066116</v>
      </c>
      <c r="F3042" s="2">
        <v>0.43522151999999997</v>
      </c>
    </row>
    <row r="3043" spans="1:6" x14ac:dyDescent="0.25">
      <c r="A3043" t="s">
        <v>6</v>
      </c>
      <c r="B3043" s="5" t="str">
        <f>HYPERLINK("http://www.broadinstitute.org/gsea/msigdb/cards/GOBP_RESPONSE_TO_FIBROBLAST_GROWTH_FACTOR.html","GOBP_RESPONSE_TO_FIBROBLAST_GROWTH_FACTOR")</f>
        <v>GOBP_RESPONSE_TO_FIBROBLAST_GROWTH_FACTOR</v>
      </c>
      <c r="C3043" s="4">
        <v>100</v>
      </c>
      <c r="D3043" s="3">
        <v>1.0976992999999999</v>
      </c>
      <c r="E3043" s="1">
        <v>0.26940638</v>
      </c>
      <c r="F3043" s="2">
        <v>0.43626325999999999</v>
      </c>
    </row>
    <row r="3044" spans="1:6" x14ac:dyDescent="0.25">
      <c r="A3044" t="s">
        <v>10</v>
      </c>
      <c r="B3044" s="5" t="str">
        <f>HYPERLINK("http://www.broadinstitute.org/gsea/msigdb/cards/REACTOME_OTHER_INTERLEUKIN_SIGNALING.html","REACTOME_OTHER_INTERLEUKIN_SIGNALING")</f>
        <v>REACTOME_OTHER_INTERLEUKIN_SIGNALING</v>
      </c>
      <c r="C3044" s="4">
        <v>15</v>
      </c>
      <c r="D3044" s="3">
        <v>1.0974406999999999</v>
      </c>
      <c r="E3044" s="1">
        <v>0.3321617</v>
      </c>
      <c r="F3044" s="2">
        <v>0.43667149999999999</v>
      </c>
    </row>
    <row r="3045" spans="1:6" x14ac:dyDescent="0.25">
      <c r="A3045" t="s">
        <v>6</v>
      </c>
      <c r="B3045" s="5" t="str">
        <f>HYPERLINK("http://www.broadinstitute.org/gsea/msigdb/cards/GOBP_PROTEIN_LIPID_COMPLEX_ORGANIZATION.html","GOBP_PROTEIN_LIPID_COMPLEX_ORGANIZATION")</f>
        <v>GOBP_PROTEIN_LIPID_COMPLEX_ORGANIZATION</v>
      </c>
      <c r="C3045" s="4">
        <v>46</v>
      </c>
      <c r="D3045" s="3">
        <v>1.0971979000000001</v>
      </c>
      <c r="E3045" s="1">
        <v>0.32584269999999999</v>
      </c>
      <c r="F3045" s="2">
        <v>0.43703799999999998</v>
      </c>
    </row>
    <row r="3046" spans="1:6" x14ac:dyDescent="0.25">
      <c r="A3046" t="s">
        <v>6</v>
      </c>
      <c r="B3046" s="5" t="str">
        <f>HYPERLINK("http://www.broadinstitute.org/gsea/msigdb/cards/GOBP_PROTEIN_TETRAMERIZATION.html","GOBP_PROTEIN_TETRAMERIZATION")</f>
        <v>GOBP_PROTEIN_TETRAMERIZATION</v>
      </c>
      <c r="C3046" s="4">
        <v>85</v>
      </c>
      <c r="D3046" s="3">
        <v>1.0965617000000001</v>
      </c>
      <c r="E3046" s="1">
        <v>0.29457362999999998</v>
      </c>
      <c r="F3046" s="2">
        <v>0.4382414</v>
      </c>
    </row>
    <row r="3047" spans="1:6" x14ac:dyDescent="0.25">
      <c r="A3047" t="s">
        <v>6</v>
      </c>
      <c r="B3047" s="5" t="str">
        <f>HYPERLINK("http://www.broadinstitute.org/gsea/msigdb/cards/GOBP_INTRACILIARY_ANTEROGRADE_TRANSPORT.html","GOBP_INTRACILIARY_ANTEROGRADE_TRANSPORT")</f>
        <v>GOBP_INTRACILIARY_ANTEROGRADE_TRANSPORT</v>
      </c>
      <c r="C3047" s="4">
        <v>20</v>
      </c>
      <c r="D3047" s="3">
        <v>1.0962205</v>
      </c>
      <c r="E3047" s="1">
        <v>0.32068964999999999</v>
      </c>
      <c r="F3047" s="2">
        <v>0.43886396</v>
      </c>
    </row>
    <row r="3048" spans="1:6" x14ac:dyDescent="0.25">
      <c r="A3048" t="s">
        <v>6</v>
      </c>
      <c r="B3048" s="5" t="str">
        <f>HYPERLINK("http://www.broadinstitute.org/gsea/msigdb/cards/GOBP_VIRAL_TRANSCRIPTION.html","GOBP_VIRAL_TRANSCRIPTION")</f>
        <v>GOBP_VIRAL_TRANSCRIPTION</v>
      </c>
      <c r="C3048" s="4">
        <v>53</v>
      </c>
      <c r="D3048" s="3">
        <v>1.0960601999999999</v>
      </c>
      <c r="E3048" s="1">
        <v>0.31723027999999998</v>
      </c>
      <c r="F3048" s="2">
        <v>0.43906885000000001</v>
      </c>
    </row>
    <row r="3049" spans="1:6" x14ac:dyDescent="0.25">
      <c r="A3049" t="s">
        <v>6</v>
      </c>
      <c r="B3049" s="5" t="str">
        <f>HYPERLINK("http://www.broadinstitute.org/gsea/msigdb/cards/GOBP_REGULATION_OF_MODIFICATION_OF_SYNAPTIC_STRUCTURE.html","GOBP_REGULATION_OF_MODIFICATION_OF_SYNAPTIC_STRUCTURE")</f>
        <v>GOBP_REGULATION_OF_MODIFICATION_OF_SYNAPTIC_STRUCTURE</v>
      </c>
      <c r="C3049" s="4">
        <v>23</v>
      </c>
      <c r="D3049" s="3">
        <v>1.0958365000000001</v>
      </c>
      <c r="E3049" s="1">
        <v>0.32094594999999998</v>
      </c>
      <c r="F3049" s="2">
        <v>0.43939143000000003</v>
      </c>
    </row>
    <row r="3050" spans="1:6" x14ac:dyDescent="0.25">
      <c r="A3050" t="s">
        <v>6</v>
      </c>
      <c r="B3050" s="5" t="str">
        <f>HYPERLINK("http://www.broadinstitute.org/gsea/msigdb/cards/GOBP_HAIR_CYCLE_PHASE.html","GOBP_HAIR_CYCLE_PHASE")</f>
        <v>GOBP_HAIR_CYCLE_PHASE</v>
      </c>
      <c r="C3050" s="4">
        <v>22</v>
      </c>
      <c r="D3050" s="3">
        <v>1.0955838</v>
      </c>
      <c r="E3050" s="1">
        <v>0.35451505</v>
      </c>
      <c r="F3050" s="2">
        <v>0.43979666000000001</v>
      </c>
    </row>
    <row r="3051" spans="1:6" x14ac:dyDescent="0.25">
      <c r="A3051" t="s">
        <v>6</v>
      </c>
      <c r="B3051" s="5" t="str">
        <f>HYPERLINK("http://www.broadinstitute.org/gsea/msigdb/cards/GOBP_THYROID_HORMONE_METABOLIC_PROCESS.html","GOBP_THYROID_HORMONE_METABOLIC_PROCESS")</f>
        <v>GOBP_THYROID_HORMONE_METABOLIC_PROCESS</v>
      </c>
      <c r="C3051" s="4">
        <v>32</v>
      </c>
      <c r="D3051" s="3">
        <v>1.0954012</v>
      </c>
      <c r="E3051" s="1">
        <v>0.35102739999999999</v>
      </c>
      <c r="F3051" s="2">
        <v>0.44004372000000003</v>
      </c>
    </row>
    <row r="3052" spans="1:6" x14ac:dyDescent="0.25">
      <c r="A3052" t="s">
        <v>11</v>
      </c>
      <c r="B3052" s="5" t="str">
        <f>HYPERLINK("http://www.broadinstitute.org/gsea/msigdb/cards/WP_EXERCISE_INDUCED_CIRCADIAN_REGULATION.html","WP_EXERCISE_INDUCED_CIRCADIAN_REGULATION")</f>
        <v>WP_EXERCISE_INDUCED_CIRCADIAN_REGULATION</v>
      </c>
      <c r="C3052" s="4">
        <v>49</v>
      </c>
      <c r="D3052" s="3">
        <v>1.0953299000000001</v>
      </c>
      <c r="E3052" s="1">
        <v>0.29568106</v>
      </c>
      <c r="F3052" s="2">
        <v>0.44005670000000002</v>
      </c>
    </row>
    <row r="3053" spans="1:6" x14ac:dyDescent="0.25">
      <c r="A3053" t="s">
        <v>8</v>
      </c>
      <c r="B3053" s="5" t="str">
        <f>HYPERLINK("http://www.broadinstitute.org/gsea/msigdb/cards/GOMF_LIPASE_ACTIVITY.html","GOMF_LIPASE_ACTIVITY")</f>
        <v>GOMF_LIPASE_ACTIVITY</v>
      </c>
      <c r="C3053" s="4">
        <v>121</v>
      </c>
      <c r="D3053" s="3">
        <v>1.0953256</v>
      </c>
      <c r="E3053" s="1">
        <v>0.28293413000000001</v>
      </c>
      <c r="F3053" s="2">
        <v>0.43991986</v>
      </c>
    </row>
    <row r="3054" spans="1:6" x14ac:dyDescent="0.25">
      <c r="A3054" t="s">
        <v>8</v>
      </c>
      <c r="B3054" s="5" t="str">
        <f>HYPERLINK("http://www.broadinstitute.org/gsea/msigdb/cards/GOMF_ALANINE_TRANSMEMBRANE_TRANSPORTER_ACTIVITY.html","GOMF_ALANINE_TRANSMEMBRANE_TRANSPORTER_ACTIVITY")</f>
        <v>GOMF_ALANINE_TRANSMEMBRANE_TRANSPORTER_ACTIVITY</v>
      </c>
      <c r="C3054" s="4">
        <v>16</v>
      </c>
      <c r="D3054" s="3">
        <v>1.0948153</v>
      </c>
      <c r="E3054" s="1">
        <v>0.34086958000000001</v>
      </c>
      <c r="F3054" s="2">
        <v>0.44086206</v>
      </c>
    </row>
    <row r="3055" spans="1:6" x14ac:dyDescent="0.25">
      <c r="A3055" t="s">
        <v>7</v>
      </c>
      <c r="B3055" s="5" t="str">
        <f>HYPERLINK("http://www.broadinstitute.org/gsea/msigdb/cards/GOCC_INTRACILIARY_TRANSPORT_PARTICLE.html","GOCC_INTRACILIARY_TRANSPORT_PARTICLE")</f>
        <v>GOCC_INTRACILIARY_TRANSPORT_PARTICLE</v>
      </c>
      <c r="C3055" s="4">
        <v>28</v>
      </c>
      <c r="D3055" s="3">
        <v>1.0944609999999999</v>
      </c>
      <c r="E3055" s="1">
        <v>0.34531250000000002</v>
      </c>
      <c r="F3055" s="2">
        <v>0.44147130000000001</v>
      </c>
    </row>
    <row r="3056" spans="1:6" x14ac:dyDescent="0.25">
      <c r="A3056" t="s">
        <v>10</v>
      </c>
      <c r="B3056" s="5" t="str">
        <f>HYPERLINK("http://www.broadinstitute.org/gsea/msigdb/cards/REACTOME_GASTRIN_CREB_SIGNALLING_PATHWAY_VIA_PKC_AND_MAPK.html","REACTOME_GASTRIN_CREB_SIGNALLING_PATHWAY_VIA_PKC_AND_MAPK")</f>
        <v>REACTOME_GASTRIN_CREB_SIGNALLING_PATHWAY_VIA_PKC_AND_MAPK</v>
      </c>
      <c r="C3056" s="4">
        <v>15</v>
      </c>
      <c r="D3056" s="3">
        <v>1.0944328000000001</v>
      </c>
      <c r="E3056" s="1">
        <v>0.33030852999999999</v>
      </c>
      <c r="F3056" s="2">
        <v>0.44138761999999998</v>
      </c>
    </row>
    <row r="3057" spans="1:6" x14ac:dyDescent="0.25">
      <c r="A3057" t="s">
        <v>6</v>
      </c>
      <c r="B3057" s="5" t="str">
        <f>HYPERLINK("http://www.broadinstitute.org/gsea/msigdb/cards/GOBP_RENAL_SYSTEM_PROCESS.html","GOBP_RENAL_SYSTEM_PROCESS")</f>
        <v>GOBP_RENAL_SYSTEM_PROCESS</v>
      </c>
      <c r="C3057" s="4">
        <v>124</v>
      </c>
      <c r="D3057" s="3">
        <v>1.0939597000000001</v>
      </c>
      <c r="E3057" s="1">
        <v>0.27313431999999999</v>
      </c>
      <c r="F3057" s="2">
        <v>0.44227614999999998</v>
      </c>
    </row>
    <row r="3058" spans="1:6" x14ac:dyDescent="0.25">
      <c r="A3058" t="s">
        <v>10</v>
      </c>
      <c r="B3058" s="5" t="str">
        <f>HYPERLINK("http://www.broadinstitute.org/gsea/msigdb/cards/REACTOME_VLDLR_INTERNALISATION_AND_DEGRADATION.html","REACTOME_VLDLR_INTERNALISATION_AND_DEGRADATION")</f>
        <v>REACTOME_VLDLR_INTERNALISATION_AND_DEGRADATION</v>
      </c>
      <c r="C3058" s="4">
        <v>16</v>
      </c>
      <c r="D3058" s="3">
        <v>1.0938524999999999</v>
      </c>
      <c r="E3058" s="1">
        <v>0.34615385999999998</v>
      </c>
      <c r="F3058" s="2">
        <v>0.44236120000000001</v>
      </c>
    </row>
    <row r="3059" spans="1:6" x14ac:dyDescent="0.25">
      <c r="A3059" t="s">
        <v>6</v>
      </c>
      <c r="B3059" s="5" t="str">
        <f>HYPERLINK("http://www.broadinstitute.org/gsea/msigdb/cards/GOBP_KERATINOCYTE_DIFFERENTIATION.html","GOBP_KERATINOCYTE_DIFFERENTIATION")</f>
        <v>GOBP_KERATINOCYTE_DIFFERENTIATION</v>
      </c>
      <c r="C3059" s="4">
        <v>156</v>
      </c>
      <c r="D3059" s="3">
        <v>1.0933991999999999</v>
      </c>
      <c r="E3059" s="1">
        <v>0.24719100999999999</v>
      </c>
      <c r="F3059" s="2">
        <v>0.44315872000000001</v>
      </c>
    </row>
    <row r="3060" spans="1:6" x14ac:dyDescent="0.25">
      <c r="A3060" t="s">
        <v>7</v>
      </c>
      <c r="B3060" s="5" t="str">
        <f>HYPERLINK("http://www.broadinstitute.org/gsea/msigdb/cards/GOCC_GOLGI_LUMEN.html","GOCC_GOLGI_LUMEN")</f>
        <v>GOCC_GOLGI_LUMEN</v>
      </c>
      <c r="C3060" s="4">
        <v>22</v>
      </c>
      <c r="D3060" s="3">
        <v>1.0931785999999999</v>
      </c>
      <c r="E3060" s="1">
        <v>0.33760000000000001</v>
      </c>
      <c r="F3060" s="2">
        <v>0.44346871999999998</v>
      </c>
    </row>
    <row r="3061" spans="1:6" x14ac:dyDescent="0.25">
      <c r="A3061" t="s">
        <v>6</v>
      </c>
      <c r="B3061" s="5" t="str">
        <f>HYPERLINK("http://www.broadinstitute.org/gsea/msigdb/cards/GOBP_RESPONSE_TO_DIETARY_EXCESS.html","GOBP_RESPONSE_TO_DIETARY_EXCESS")</f>
        <v>GOBP_RESPONSE_TO_DIETARY_EXCESS</v>
      </c>
      <c r="C3061" s="4">
        <v>43</v>
      </c>
      <c r="D3061" s="3">
        <v>1.0931242999999999</v>
      </c>
      <c r="E3061" s="1">
        <v>0.30612244999999999</v>
      </c>
      <c r="F3061" s="2">
        <v>0.44345129999999999</v>
      </c>
    </row>
    <row r="3062" spans="1:6" x14ac:dyDescent="0.25">
      <c r="A3062" t="s">
        <v>7</v>
      </c>
      <c r="B3062" s="5" t="str">
        <f>HYPERLINK("http://www.broadinstitute.org/gsea/msigdb/cards/GOCC_APICOLATERAL_PLASMA_MEMBRANE.html","GOCC_APICOLATERAL_PLASMA_MEMBRANE")</f>
        <v>GOCC_APICOLATERAL_PLASMA_MEMBRANE</v>
      </c>
      <c r="C3062" s="4">
        <v>27</v>
      </c>
      <c r="D3062" s="3">
        <v>1.0931149</v>
      </c>
      <c r="E3062" s="1">
        <v>0.31578946000000002</v>
      </c>
      <c r="F3062" s="2">
        <v>0.44332650000000001</v>
      </c>
    </row>
    <row r="3063" spans="1:6" x14ac:dyDescent="0.25">
      <c r="A3063" t="s">
        <v>10</v>
      </c>
      <c r="B3063" s="5" t="str">
        <f>HYPERLINK("http://www.broadinstitute.org/gsea/msigdb/cards/REACTOME_CD209_DC_SIGN_SIGNALING.html","REACTOME_CD209_DC_SIGN_SIGNALING")</f>
        <v>REACTOME_CD209_DC_SIGN_SIGNALING</v>
      </c>
      <c r="C3063" s="4">
        <v>17</v>
      </c>
      <c r="D3063" s="3">
        <v>1.0929818</v>
      </c>
      <c r="E3063" s="1">
        <v>0.33558178</v>
      </c>
      <c r="F3063" s="2">
        <v>0.44346649999999999</v>
      </c>
    </row>
    <row r="3064" spans="1:6" x14ac:dyDescent="0.25">
      <c r="A3064" t="s">
        <v>7</v>
      </c>
      <c r="B3064" s="5" t="str">
        <f>HYPERLINK("http://www.broadinstitute.org/gsea/msigdb/cards/GOCC_NEURON_SPINE.html","GOCC_NEURON_SPINE")</f>
        <v>GOCC_NEURON_SPINE</v>
      </c>
      <c r="C3064" s="4">
        <v>210</v>
      </c>
      <c r="D3064" s="3">
        <v>1.0928627</v>
      </c>
      <c r="E3064" s="1">
        <v>0.24466571000000001</v>
      </c>
      <c r="F3064" s="2">
        <v>0.44357534999999998</v>
      </c>
    </row>
    <row r="3065" spans="1:6" x14ac:dyDescent="0.25">
      <c r="A3065" t="s">
        <v>6</v>
      </c>
      <c r="B3065" s="5" t="str">
        <f>HYPERLINK("http://www.broadinstitute.org/gsea/msigdb/cards/GOBP_SULFUR_AMINO_ACID_BIOSYNTHETIC_PROCESS.html","GOBP_SULFUR_AMINO_ACID_BIOSYNTHETIC_PROCESS")</f>
        <v>GOBP_SULFUR_AMINO_ACID_BIOSYNTHETIC_PROCESS</v>
      </c>
      <c r="C3065" s="4">
        <v>15</v>
      </c>
      <c r="D3065" s="3">
        <v>1.0923928000000001</v>
      </c>
      <c r="E3065" s="1">
        <v>0.34280938</v>
      </c>
      <c r="F3065" s="2">
        <v>0.44439869999999998</v>
      </c>
    </row>
    <row r="3066" spans="1:6" x14ac:dyDescent="0.25">
      <c r="A3066" t="s">
        <v>6</v>
      </c>
      <c r="B3066" s="5" t="str">
        <f>HYPERLINK("http://www.broadinstitute.org/gsea/msigdb/cards/GOBP_MYOBLAST_PROLIFERATION.html","GOBP_MYOBLAST_PROLIFERATION")</f>
        <v>GOBP_MYOBLAST_PROLIFERATION</v>
      </c>
      <c r="C3066" s="4">
        <v>26</v>
      </c>
      <c r="D3066" s="3">
        <v>1.0923719999999999</v>
      </c>
      <c r="E3066" s="1">
        <v>0.33160620000000002</v>
      </c>
      <c r="F3066" s="2">
        <v>0.44429639999999998</v>
      </c>
    </row>
    <row r="3067" spans="1:6" x14ac:dyDescent="0.25">
      <c r="A3067" t="s">
        <v>7</v>
      </c>
      <c r="B3067" s="5" t="str">
        <f>HYPERLINK("http://www.broadinstitute.org/gsea/msigdb/cards/GOCC_POSTSYNAPTIC_ENDOSOME.html","GOCC_POSTSYNAPTIC_ENDOSOME")</f>
        <v>GOCC_POSTSYNAPTIC_ENDOSOME</v>
      </c>
      <c r="C3067" s="4">
        <v>17</v>
      </c>
      <c r="D3067" s="3">
        <v>1.0921041</v>
      </c>
      <c r="E3067" s="1">
        <v>0.31218699999999999</v>
      </c>
      <c r="F3067" s="2">
        <v>0.44474112999999998</v>
      </c>
    </row>
    <row r="3068" spans="1:6" x14ac:dyDescent="0.25">
      <c r="A3068" t="s">
        <v>6</v>
      </c>
      <c r="B3068" s="5" t="str">
        <f>HYPERLINK("http://www.broadinstitute.org/gsea/msigdb/cards/GOBP_SERTOLI_CELL_DEVELOPMENT.html","GOBP_SERTOLI_CELL_DEVELOPMENT")</f>
        <v>GOBP_SERTOLI_CELL_DEVELOPMENT</v>
      </c>
      <c r="C3068" s="4">
        <v>20</v>
      </c>
      <c r="D3068" s="3">
        <v>1.0918696000000001</v>
      </c>
      <c r="E3068" s="1">
        <v>0.32605043</v>
      </c>
      <c r="F3068" s="2">
        <v>0.44508229999999999</v>
      </c>
    </row>
    <row r="3069" spans="1:6" x14ac:dyDescent="0.25">
      <c r="A3069" t="s">
        <v>6</v>
      </c>
      <c r="B3069" s="5" t="str">
        <f>HYPERLINK("http://www.broadinstitute.org/gsea/msigdb/cards/GOBP_MANNOSYLATION.html","GOBP_MANNOSYLATION")</f>
        <v>GOBP_MANNOSYLATION</v>
      </c>
      <c r="C3069" s="4">
        <v>22</v>
      </c>
      <c r="D3069" s="3">
        <v>1.0918000999999999</v>
      </c>
      <c r="E3069" s="1">
        <v>0.33564012999999998</v>
      </c>
      <c r="F3069" s="2">
        <v>0.44508750000000002</v>
      </c>
    </row>
    <row r="3070" spans="1:6" x14ac:dyDescent="0.25">
      <c r="A3070" t="s">
        <v>6</v>
      </c>
      <c r="B3070" s="5" t="str">
        <f>HYPERLINK("http://www.broadinstitute.org/gsea/msigdb/cards/GOBP_CELLULAR_RESPONSE_TO_VITAMIN.html","GOBP_CELLULAR_RESPONSE_TO_VITAMIN")</f>
        <v>GOBP_CELLULAR_RESPONSE_TO_VITAMIN</v>
      </c>
      <c r="C3070" s="4">
        <v>16</v>
      </c>
      <c r="D3070" s="3">
        <v>1.0917878000000001</v>
      </c>
      <c r="E3070" s="1">
        <v>0.33333333999999998</v>
      </c>
      <c r="F3070" s="2">
        <v>0.44496960000000002</v>
      </c>
    </row>
    <row r="3071" spans="1:6" x14ac:dyDescent="0.25">
      <c r="A3071" t="s">
        <v>8</v>
      </c>
      <c r="B3071" s="5" t="str">
        <f>HYPERLINK("http://www.broadinstitute.org/gsea/msigdb/cards/GOMF_PROTEIN_DISULFIDE_REDUCTASE_ACTIVITY.html","GOMF_PROTEIN_DISULFIDE_REDUCTASE_ACTIVITY")</f>
        <v>GOMF_PROTEIN_DISULFIDE_REDUCTASE_ACTIVITY</v>
      </c>
      <c r="C3071" s="4">
        <v>25</v>
      </c>
      <c r="D3071" s="3">
        <v>1.0914029999999999</v>
      </c>
      <c r="E3071" s="1">
        <v>0.34790527999999998</v>
      </c>
      <c r="F3071" s="2">
        <v>0.44561539999999999</v>
      </c>
    </row>
    <row r="3072" spans="1:6" x14ac:dyDescent="0.25">
      <c r="A3072" t="s">
        <v>6</v>
      </c>
      <c r="B3072" s="5" t="str">
        <f>HYPERLINK("http://www.broadinstitute.org/gsea/msigdb/cards/GOBP_CORONARY_VASCULATURE_DEVELOPMENT.html","GOBP_CORONARY_VASCULATURE_DEVELOPMENT")</f>
        <v>GOBP_CORONARY_VASCULATURE_DEVELOPMENT</v>
      </c>
      <c r="C3072" s="4">
        <v>73</v>
      </c>
      <c r="D3072" s="3">
        <v>1.0910466999999999</v>
      </c>
      <c r="E3072" s="1">
        <v>0.28346458000000002</v>
      </c>
      <c r="F3072" s="2">
        <v>0.44623829999999998</v>
      </c>
    </row>
    <row r="3073" spans="1:6" x14ac:dyDescent="0.25">
      <c r="A3073" t="s">
        <v>6</v>
      </c>
      <c r="B3073" s="5" t="str">
        <f>HYPERLINK("http://www.broadinstitute.org/gsea/msigdb/cards/GOBP_REGULATION_OF_HEART_RATE.html","GOBP_REGULATION_OF_HEART_RATE")</f>
        <v>GOBP_REGULATION_OF_HEART_RATE</v>
      </c>
      <c r="C3073" s="4">
        <v>110</v>
      </c>
      <c r="D3073" s="3">
        <v>1.0909518</v>
      </c>
      <c r="E3073" s="1">
        <v>0.27650429999999998</v>
      </c>
      <c r="F3073" s="2">
        <v>0.44629002000000001</v>
      </c>
    </row>
    <row r="3074" spans="1:6" x14ac:dyDescent="0.25">
      <c r="A3074" t="s">
        <v>6</v>
      </c>
      <c r="B3074" s="5" t="str">
        <f>HYPERLINK("http://www.broadinstitute.org/gsea/msigdb/cards/GOBP_SECRETION_BY_TISSUE.html","GOBP_SECRETION_BY_TISSUE")</f>
        <v>GOBP_SECRETION_BY_TISSUE</v>
      </c>
      <c r="C3074" s="4">
        <v>51</v>
      </c>
      <c r="D3074" s="3">
        <v>1.0908146000000001</v>
      </c>
      <c r="E3074" s="1">
        <v>0.29228242999999998</v>
      </c>
      <c r="F3074" s="2">
        <v>0.44643620000000001</v>
      </c>
    </row>
    <row r="3075" spans="1:6" x14ac:dyDescent="0.25">
      <c r="A3075" t="s">
        <v>6</v>
      </c>
      <c r="B3075" s="5" t="str">
        <f>HYPERLINK("http://www.broadinstitute.org/gsea/msigdb/cards/GOBP_NEGATIVE_REGULATION_OF_CATECHOLAMINE_SECRETION.html","GOBP_NEGATIVE_REGULATION_OF_CATECHOLAMINE_SECRETION")</f>
        <v>GOBP_NEGATIVE_REGULATION_OF_CATECHOLAMINE_SECRETION</v>
      </c>
      <c r="C3075" s="4">
        <v>18</v>
      </c>
      <c r="D3075" s="3">
        <v>1.0907608</v>
      </c>
      <c r="E3075" s="1">
        <v>0.33274021999999998</v>
      </c>
      <c r="F3075" s="2">
        <v>0.44641461999999998</v>
      </c>
    </row>
    <row r="3076" spans="1:6" x14ac:dyDescent="0.25">
      <c r="A3076" t="s">
        <v>6</v>
      </c>
      <c r="B3076" s="5" t="str">
        <f>HYPERLINK("http://www.broadinstitute.org/gsea/msigdb/cards/GOBP_SOMATIC_DIVERSIFICATION_OF_IMMUNOGLOBULINS_INVOLVED_IN_IMMUNE_RESPONSE.html","GOBP_SOMATIC_DIVERSIFICATION_OF_IMMUNOGLOBULINS_INVOLVED_IN_IMMUNE_RESPONSE")</f>
        <v>GOBP_SOMATIC_DIVERSIFICATION_OF_IMMUNOGLOBULINS_INVOLVED_IN_IMMUNE_RESPONSE</v>
      </c>
      <c r="C3076" s="4">
        <v>56</v>
      </c>
      <c r="D3076" s="3">
        <v>1.0907562</v>
      </c>
      <c r="E3076" s="1">
        <v>0.30421218</v>
      </c>
      <c r="F3076" s="2">
        <v>0.44627818000000002</v>
      </c>
    </row>
    <row r="3077" spans="1:6" x14ac:dyDescent="0.25">
      <c r="A3077" t="s">
        <v>6</v>
      </c>
      <c r="B3077" s="5" t="str">
        <f>HYPERLINK("http://www.broadinstitute.org/gsea/msigdb/cards/GOBP_PROTEIN_AUTOUBIQUITINATION.html","GOBP_PROTEIN_AUTOUBIQUITINATION")</f>
        <v>GOBP_PROTEIN_AUTOUBIQUITINATION</v>
      </c>
      <c r="C3077" s="4">
        <v>75</v>
      </c>
      <c r="D3077" s="3">
        <v>1.0895584</v>
      </c>
      <c r="E3077" s="1">
        <v>0.30559756999999999</v>
      </c>
      <c r="F3077" s="2">
        <v>0.44873851999999997</v>
      </c>
    </row>
    <row r="3078" spans="1:6" x14ac:dyDescent="0.25">
      <c r="A3078" t="s">
        <v>6</v>
      </c>
      <c r="B3078" s="5" t="str">
        <f>HYPERLINK("http://www.broadinstitute.org/gsea/msigdb/cards/GOBP_EPITHELIAL_CELL_MORPHOGENESIS.html","GOBP_EPITHELIAL_CELL_MORPHOGENESIS")</f>
        <v>GOBP_EPITHELIAL_CELL_MORPHOGENESIS</v>
      </c>
      <c r="C3078" s="4">
        <v>45</v>
      </c>
      <c r="D3078" s="3">
        <v>1.0894600999999999</v>
      </c>
      <c r="E3078" s="1">
        <v>0.31527093</v>
      </c>
      <c r="F3078" s="2">
        <v>0.44880875999999997</v>
      </c>
    </row>
    <row r="3079" spans="1:6" x14ac:dyDescent="0.25">
      <c r="A3079" t="s">
        <v>8</v>
      </c>
      <c r="B3079" s="5" t="str">
        <f>HYPERLINK("http://www.broadinstitute.org/gsea/msigdb/cards/GOMF_RECEPTOR_SERINE_THREONINE_KINASE_BINDING.html","GOMF_RECEPTOR_SERINE_THREONINE_KINASE_BINDING")</f>
        <v>GOMF_RECEPTOR_SERINE_THREONINE_KINASE_BINDING</v>
      </c>
      <c r="C3079" s="4">
        <v>29</v>
      </c>
      <c r="D3079" s="3">
        <v>1.0885906000000001</v>
      </c>
      <c r="E3079" s="1">
        <v>0.34241909999999998</v>
      </c>
      <c r="F3079" s="2">
        <v>0.45053133000000001</v>
      </c>
    </row>
    <row r="3080" spans="1:6" x14ac:dyDescent="0.25">
      <c r="A3080" t="s">
        <v>6</v>
      </c>
      <c r="B3080" s="5" t="str">
        <f>HYPERLINK("http://www.broadinstitute.org/gsea/msigdb/cards/GOBP_NUCLEAR_TRANSCRIBED_MRNA_CATABOLIC_PROCESS_NONSENSE_MEDIATED_DECAY.html","GOBP_NUCLEAR_TRANSCRIBED_MRNA_CATABOLIC_PROCESS_NONSENSE_MEDIATED_DECAY")</f>
        <v>GOBP_NUCLEAR_TRANSCRIBED_MRNA_CATABOLIC_PROCESS_NONSENSE_MEDIATED_DECAY</v>
      </c>
      <c r="C3080" s="4">
        <v>46</v>
      </c>
      <c r="D3080" s="3">
        <v>1.0884777000000001</v>
      </c>
      <c r="E3080" s="1">
        <v>0.31433224999999998</v>
      </c>
      <c r="F3080" s="2">
        <v>0.45062580000000002</v>
      </c>
    </row>
    <row r="3081" spans="1:6" x14ac:dyDescent="0.25">
      <c r="A3081" t="s">
        <v>6</v>
      </c>
      <c r="B3081" s="5" t="str">
        <f>HYPERLINK("http://www.broadinstitute.org/gsea/msigdb/cards/GOBP_RESPONSE_TO_METAL_ION.html","GOBP_RESPONSE_TO_METAL_ION")</f>
        <v>GOBP_RESPONSE_TO_METAL_ION</v>
      </c>
      <c r="C3081" s="4">
        <v>309</v>
      </c>
      <c r="D3081" s="3">
        <v>1.0880548999999999</v>
      </c>
      <c r="E3081" s="1">
        <v>0.23941799</v>
      </c>
      <c r="F3081" s="2">
        <v>0.45142058000000002</v>
      </c>
    </row>
    <row r="3082" spans="1:6" x14ac:dyDescent="0.25">
      <c r="A3082" t="s">
        <v>6</v>
      </c>
      <c r="B3082" s="5" t="str">
        <f>HYPERLINK("http://www.broadinstitute.org/gsea/msigdb/cards/GOBP_CELLULAR_RESPONSE_TO_XENOBIOTIC_STIMULUS.html","GOBP_CELLULAR_RESPONSE_TO_XENOBIOTIC_STIMULUS")</f>
        <v>GOBP_CELLULAR_RESPONSE_TO_XENOBIOTIC_STIMULUS</v>
      </c>
      <c r="C3082" s="4">
        <v>162</v>
      </c>
      <c r="D3082" s="3">
        <v>1.0879178</v>
      </c>
      <c r="E3082" s="1">
        <v>0.2816265</v>
      </c>
      <c r="F3082" s="2">
        <v>0.45156467</v>
      </c>
    </row>
    <row r="3083" spans="1:6" x14ac:dyDescent="0.25">
      <c r="A3083" t="s">
        <v>6</v>
      </c>
      <c r="B3083" s="5" t="str">
        <f>HYPERLINK("http://www.broadinstitute.org/gsea/msigdb/cards/GOBP_CELL_CELL_RECOGNITION.html","GOBP_CELL_CELL_RECOGNITION")</f>
        <v>GOBP_CELL_CELL_RECOGNITION</v>
      </c>
      <c r="C3083" s="4">
        <v>71</v>
      </c>
      <c r="D3083" s="3">
        <v>1.0875745000000001</v>
      </c>
      <c r="E3083" s="1">
        <v>0.30990415999999998</v>
      </c>
      <c r="F3083" s="2">
        <v>0.45215765000000002</v>
      </c>
    </row>
    <row r="3084" spans="1:6" x14ac:dyDescent="0.25">
      <c r="A3084" t="s">
        <v>6</v>
      </c>
      <c r="B3084" s="5" t="str">
        <f>HYPERLINK("http://www.broadinstitute.org/gsea/msigdb/cards/GOBP_SEGMENT_SPECIFICATION.html","GOBP_SEGMENT_SPECIFICATION")</f>
        <v>GOBP_SEGMENT_SPECIFICATION</v>
      </c>
      <c r="C3084" s="4">
        <v>19</v>
      </c>
      <c r="D3084" s="3">
        <v>1.0875368999999999</v>
      </c>
      <c r="E3084" s="1">
        <v>0.35149384</v>
      </c>
      <c r="F3084" s="2">
        <v>0.45210096</v>
      </c>
    </row>
    <row r="3085" spans="1:6" x14ac:dyDescent="0.25">
      <c r="A3085" t="s">
        <v>6</v>
      </c>
      <c r="B3085" s="5" t="str">
        <f>HYPERLINK("http://www.broadinstitute.org/gsea/msigdb/cards/GOBP_REGULATION_OF_CATECHOLAMINE_METABOLIC_PROCESS.html","GOBP_REGULATION_OF_CATECHOLAMINE_METABOLIC_PROCESS")</f>
        <v>GOBP_REGULATION_OF_CATECHOLAMINE_METABOLIC_PROCESS</v>
      </c>
      <c r="C3085" s="4">
        <v>25</v>
      </c>
      <c r="D3085" s="3">
        <v>1.087153</v>
      </c>
      <c r="E3085" s="1">
        <v>0.35420099999999999</v>
      </c>
      <c r="F3085" s="2">
        <v>0.45276981999999999</v>
      </c>
    </row>
    <row r="3086" spans="1:6" x14ac:dyDescent="0.25">
      <c r="A3086" t="s">
        <v>10</v>
      </c>
      <c r="B3086" s="5" t="str">
        <f>HYPERLINK("http://www.broadinstitute.org/gsea/msigdb/cards/REACTOME_METHYLATION.html","REACTOME_METHYLATION")</f>
        <v>REACTOME_METHYLATION</v>
      </c>
      <c r="C3086" s="4">
        <v>15</v>
      </c>
      <c r="D3086" s="3">
        <v>1.0866681</v>
      </c>
      <c r="E3086" s="1">
        <v>0.35618728</v>
      </c>
      <c r="F3086" s="2">
        <v>0.45367897000000001</v>
      </c>
    </row>
    <row r="3087" spans="1:6" x14ac:dyDescent="0.25">
      <c r="A3087" t="s">
        <v>6</v>
      </c>
      <c r="B3087" s="5" t="str">
        <f>HYPERLINK("http://www.broadinstitute.org/gsea/msigdb/cards/GOBP_PYRIMIDINE_NUCLEOTIDE_METABOLIC_PROCESS.html","GOBP_PYRIMIDINE_NUCLEOTIDE_METABOLIC_PROCESS")</f>
        <v>GOBP_PYRIMIDINE_NUCLEOTIDE_METABOLIC_PROCESS</v>
      </c>
      <c r="C3087" s="4">
        <v>41</v>
      </c>
      <c r="D3087" s="3">
        <v>1.0862753000000001</v>
      </c>
      <c r="E3087" s="1">
        <v>0.33220909999999998</v>
      </c>
      <c r="F3087" s="2">
        <v>0.45439202000000001</v>
      </c>
    </row>
    <row r="3088" spans="1:6" x14ac:dyDescent="0.25">
      <c r="A3088" t="s">
        <v>6</v>
      </c>
      <c r="B3088" s="5" t="str">
        <f>HYPERLINK("http://www.broadinstitute.org/gsea/msigdb/cards/GOBP_MUCUS_SECRETION.html","GOBP_MUCUS_SECRETION")</f>
        <v>GOBP_MUCUS_SECRETION</v>
      </c>
      <c r="C3088" s="4">
        <v>20</v>
      </c>
      <c r="D3088" s="3">
        <v>1.0861261</v>
      </c>
      <c r="E3088" s="1">
        <v>0.3380783</v>
      </c>
      <c r="F3088" s="2">
        <v>0.45455590000000001</v>
      </c>
    </row>
    <row r="3089" spans="1:6" x14ac:dyDescent="0.25">
      <c r="A3089" t="s">
        <v>6</v>
      </c>
      <c r="B3089" s="5" t="str">
        <f>HYPERLINK("http://www.broadinstitute.org/gsea/msigdb/cards/GOBP_PRIMARY_ALCOHOL_METABOLIC_PROCESS.html","GOBP_PRIMARY_ALCOHOL_METABOLIC_PROCESS")</f>
        <v>GOBP_PRIMARY_ALCOHOL_METABOLIC_PROCESS</v>
      </c>
      <c r="C3089" s="4">
        <v>81</v>
      </c>
      <c r="D3089" s="3">
        <v>1.0855888</v>
      </c>
      <c r="E3089" s="1">
        <v>0.3015873</v>
      </c>
      <c r="F3089" s="2">
        <v>0.45554810000000001</v>
      </c>
    </row>
    <row r="3090" spans="1:6" x14ac:dyDescent="0.25">
      <c r="A3090" t="s">
        <v>8</v>
      </c>
      <c r="B3090" s="5" t="str">
        <f>HYPERLINK("http://www.broadinstitute.org/gsea/msigdb/cards/GOMF_KINASE_INHIBITOR_ACTIVITY.html","GOMF_KINASE_INHIBITOR_ACTIVITY")</f>
        <v>GOMF_KINASE_INHIBITOR_ACTIVITY</v>
      </c>
      <c r="C3090" s="4">
        <v>73</v>
      </c>
      <c r="D3090" s="3">
        <v>1.0855246000000001</v>
      </c>
      <c r="E3090" s="1">
        <v>0.31687896999999998</v>
      </c>
      <c r="F3090" s="2">
        <v>0.45553544000000001</v>
      </c>
    </row>
    <row r="3091" spans="1:6" x14ac:dyDescent="0.25">
      <c r="A3091" t="s">
        <v>6</v>
      </c>
      <c r="B3091" s="5" t="str">
        <f>HYPERLINK("http://www.broadinstitute.org/gsea/msigdb/cards/GOBP_PROTEIN_K63_LINKED_DEUBIQUITINATION.html","GOBP_PROTEIN_K63_LINKED_DEUBIQUITINATION")</f>
        <v>GOBP_PROTEIN_K63_LINKED_DEUBIQUITINATION</v>
      </c>
      <c r="C3091" s="4">
        <v>29</v>
      </c>
      <c r="D3091" s="3">
        <v>1.0855035</v>
      </c>
      <c r="E3091" s="1">
        <v>0.32038834999999999</v>
      </c>
      <c r="F3091" s="2">
        <v>0.45544119999999999</v>
      </c>
    </row>
    <row r="3092" spans="1:6" x14ac:dyDescent="0.25">
      <c r="A3092" t="s">
        <v>8</v>
      </c>
      <c r="B3092" s="5" t="str">
        <f>HYPERLINK("http://www.broadinstitute.org/gsea/msigdb/cards/GOMF_NUCLEAR_LOCALIZATION_SEQUENCE_BINDING.html","GOMF_NUCLEAR_LOCALIZATION_SEQUENCE_BINDING")</f>
        <v>GOMF_NUCLEAR_LOCALIZATION_SEQUENCE_BINDING</v>
      </c>
      <c r="C3092" s="4">
        <v>23</v>
      </c>
      <c r="D3092" s="3">
        <v>1.0854718999999999</v>
      </c>
      <c r="E3092" s="1">
        <v>0.35376533999999998</v>
      </c>
      <c r="F3092" s="2">
        <v>0.45535262999999998</v>
      </c>
    </row>
    <row r="3093" spans="1:6" x14ac:dyDescent="0.25">
      <c r="A3093" t="s">
        <v>6</v>
      </c>
      <c r="B3093" s="5" t="str">
        <f>HYPERLINK("http://www.broadinstitute.org/gsea/msigdb/cards/GOBP_MICROVILLUS_ORGANIZATION.html","GOBP_MICROVILLUS_ORGANIZATION")</f>
        <v>GOBP_MICROVILLUS_ORGANIZATION</v>
      </c>
      <c r="C3093" s="4">
        <v>26</v>
      </c>
      <c r="D3093" s="3">
        <v>1.0853071999999999</v>
      </c>
      <c r="E3093" s="1">
        <v>0.32111691999999997</v>
      </c>
      <c r="F3093" s="2">
        <v>0.45556944999999999</v>
      </c>
    </row>
    <row r="3094" spans="1:6" x14ac:dyDescent="0.25">
      <c r="A3094" t="s">
        <v>10</v>
      </c>
      <c r="B3094" s="5" t="str">
        <f>HYPERLINK("http://www.broadinstitute.org/gsea/msigdb/cards/REACTOME_SIGNALING_BY_FGFR4.html","REACTOME_SIGNALING_BY_FGFR4")</f>
        <v>REACTOME_SIGNALING_BY_FGFR4</v>
      </c>
      <c r="C3094" s="4">
        <v>40</v>
      </c>
      <c r="D3094" s="3">
        <v>1.0852660000000001</v>
      </c>
      <c r="E3094" s="1">
        <v>0.33225283</v>
      </c>
      <c r="F3094" s="2">
        <v>0.45551365999999999</v>
      </c>
    </row>
    <row r="3095" spans="1:6" x14ac:dyDescent="0.25">
      <c r="A3095" t="s">
        <v>8</v>
      </c>
      <c r="B3095" s="5" t="str">
        <f>HYPERLINK("http://www.broadinstitute.org/gsea/msigdb/cards/GOMF_PURINE_RIBONUCLEOTIDE_TRANSMEMBRANE_TRANSPORTER_ACTIVITY.html","GOMF_PURINE_RIBONUCLEOTIDE_TRANSMEMBRANE_TRANSPORTER_ACTIVITY")</f>
        <v>GOMF_PURINE_RIBONUCLEOTIDE_TRANSMEMBRANE_TRANSPORTER_ACTIVITY</v>
      </c>
      <c r="C3095" s="4">
        <v>22</v>
      </c>
      <c r="D3095" s="3">
        <v>1.0852348999999999</v>
      </c>
      <c r="E3095" s="1">
        <v>0.35602096</v>
      </c>
      <c r="F3095" s="2">
        <v>0.45544064000000001</v>
      </c>
    </row>
    <row r="3096" spans="1:6" x14ac:dyDescent="0.25">
      <c r="A3096" t="s">
        <v>6</v>
      </c>
      <c r="B3096" s="5" t="str">
        <f>HYPERLINK("http://www.broadinstitute.org/gsea/msigdb/cards/GOBP_NEGATIVE_REGULATION_OF_ACTIVIN_RECEPTOR_SIGNALING_PATHWAY.html","GOBP_NEGATIVE_REGULATION_OF_ACTIVIN_RECEPTOR_SIGNALING_PATHWAY")</f>
        <v>GOBP_NEGATIVE_REGULATION_OF_ACTIVIN_RECEPTOR_SIGNALING_PATHWAY</v>
      </c>
      <c r="C3096" s="4">
        <v>15</v>
      </c>
      <c r="D3096" s="3">
        <v>1.0848536</v>
      </c>
      <c r="E3096" s="1">
        <v>0.33506944999999999</v>
      </c>
      <c r="F3096" s="2">
        <v>0.45609263</v>
      </c>
    </row>
    <row r="3097" spans="1:6" x14ac:dyDescent="0.25">
      <c r="A3097" t="s">
        <v>6</v>
      </c>
      <c r="B3097" s="5" t="str">
        <f>HYPERLINK("http://www.broadinstitute.org/gsea/msigdb/cards/GOBP_INORGANIC_ANION_TRANSPORT.html","GOBP_INORGANIC_ANION_TRANSPORT")</f>
        <v>GOBP_INORGANIC_ANION_TRANSPORT</v>
      </c>
      <c r="C3097" s="4">
        <v>150</v>
      </c>
      <c r="D3097" s="3">
        <v>1.0848125</v>
      </c>
      <c r="E3097" s="1">
        <v>0.27987897</v>
      </c>
      <c r="F3097" s="2">
        <v>0.45603359999999998</v>
      </c>
    </row>
    <row r="3098" spans="1:6" x14ac:dyDescent="0.25">
      <c r="A3098" t="s">
        <v>6</v>
      </c>
      <c r="B3098" s="5" t="str">
        <f>HYPERLINK("http://www.broadinstitute.org/gsea/msigdb/cards/GOBP_GABAERGIC_NEURON_DIFFERENTIATION.html","GOBP_GABAERGIC_NEURON_DIFFERENTIATION")</f>
        <v>GOBP_GABAERGIC_NEURON_DIFFERENTIATION</v>
      </c>
      <c r="C3098" s="4">
        <v>23</v>
      </c>
      <c r="D3098" s="3">
        <v>1.0847145</v>
      </c>
      <c r="E3098" s="1">
        <v>0.34729493</v>
      </c>
      <c r="F3098" s="2">
        <v>0.45609248000000002</v>
      </c>
    </row>
    <row r="3099" spans="1:6" x14ac:dyDescent="0.25">
      <c r="A3099" t="s">
        <v>6</v>
      </c>
      <c r="B3099" s="5" t="str">
        <f>HYPERLINK("http://www.broadinstitute.org/gsea/msigdb/cards/GOBP_CELLULAR_RESPONSE_TO_METAL_ION.html","GOBP_CELLULAR_RESPONSE_TO_METAL_ION")</f>
        <v>GOBP_CELLULAR_RESPONSE_TO_METAL_ION</v>
      </c>
      <c r="C3099" s="4">
        <v>182</v>
      </c>
      <c r="D3099" s="3">
        <v>1.0839297000000001</v>
      </c>
      <c r="E3099" s="1">
        <v>0.27259684000000001</v>
      </c>
      <c r="F3099" s="2">
        <v>0.45766780000000001</v>
      </c>
    </row>
    <row r="3100" spans="1:6" x14ac:dyDescent="0.25">
      <c r="A3100" t="s">
        <v>6</v>
      </c>
      <c r="B3100" s="5" t="str">
        <f>HYPERLINK("http://www.broadinstitute.org/gsea/msigdb/cards/GOBP_REGULATION_OF_MORPHOGENESIS_OF_A_BRANCHING_STRUCTURE.html","GOBP_REGULATION_OF_MORPHOGENESIS_OF_A_BRANCHING_STRUCTURE")</f>
        <v>GOBP_REGULATION_OF_MORPHOGENESIS_OF_A_BRANCHING_STRUCTURE</v>
      </c>
      <c r="C3100" s="4">
        <v>66</v>
      </c>
      <c r="D3100" s="3">
        <v>1.0838909999999999</v>
      </c>
      <c r="E3100" s="1">
        <v>0.32169953000000001</v>
      </c>
      <c r="F3100" s="2">
        <v>0.4576095</v>
      </c>
    </row>
    <row r="3101" spans="1:6" x14ac:dyDescent="0.25">
      <c r="A3101" t="s">
        <v>6</v>
      </c>
      <c r="B3101" s="5" t="str">
        <f>HYPERLINK("http://www.broadinstitute.org/gsea/msigdb/cards/GOBP_POSITIVE_REGULATION_OF_PROTEOLYSIS_INVOLVED_IN_PROTEIN_CATABOLIC_PROCESS.html","GOBP_POSITIVE_REGULATION_OF_PROTEOLYSIS_INVOLVED_IN_PROTEIN_CATABOLIC_PROCESS")</f>
        <v>GOBP_POSITIVE_REGULATION_OF_PROTEOLYSIS_INVOLVED_IN_PROTEIN_CATABOLIC_PROCESS</v>
      </c>
      <c r="C3101" s="4">
        <v>131</v>
      </c>
      <c r="D3101" s="3">
        <v>1.0838493</v>
      </c>
      <c r="E3101" s="1">
        <v>0.27876106</v>
      </c>
      <c r="F3101" s="2">
        <v>0.45755222000000001</v>
      </c>
    </row>
    <row r="3102" spans="1:6" x14ac:dyDescent="0.25">
      <c r="A3102" t="s">
        <v>6</v>
      </c>
      <c r="B3102" s="5" t="str">
        <f>HYPERLINK("http://www.broadinstitute.org/gsea/msigdb/cards/GOBP_DETECTION_OF_MECHANICAL_STIMULUS.html","GOBP_DETECTION_OF_MECHANICAL_STIMULUS")</f>
        <v>GOBP_DETECTION_OF_MECHANICAL_STIMULUS</v>
      </c>
      <c r="C3102" s="4">
        <v>69</v>
      </c>
      <c r="D3102" s="3">
        <v>1.0834093</v>
      </c>
      <c r="E3102" s="1">
        <v>0.32736155</v>
      </c>
      <c r="F3102" s="2">
        <v>0.45837852000000001</v>
      </c>
    </row>
    <row r="3103" spans="1:6" x14ac:dyDescent="0.25">
      <c r="A3103" t="s">
        <v>6</v>
      </c>
      <c r="B3103" s="5" t="str">
        <f>HYPERLINK("http://www.broadinstitute.org/gsea/msigdb/cards/GOBP_HEART_VALVE_MORPHOGENESIS.html","GOBP_HEART_VALVE_MORPHOGENESIS")</f>
        <v>GOBP_HEART_VALVE_MORPHOGENESIS</v>
      </c>
      <c r="C3103" s="4">
        <v>54</v>
      </c>
      <c r="D3103" s="3">
        <v>1.0833359</v>
      </c>
      <c r="E3103" s="1">
        <v>0.29867986000000002</v>
      </c>
      <c r="F3103" s="2">
        <v>0.45838737000000002</v>
      </c>
    </row>
    <row r="3104" spans="1:6" x14ac:dyDescent="0.25">
      <c r="A3104" t="s">
        <v>8</v>
      </c>
      <c r="B3104" s="5" t="str">
        <f>HYPERLINK("http://www.broadinstitute.org/gsea/msigdb/cards/GOMF_VITAMIN_BINDING.html","GOMF_VITAMIN_BINDING")</f>
        <v>GOMF_VITAMIN_BINDING</v>
      </c>
      <c r="C3104" s="4">
        <v>139</v>
      </c>
      <c r="D3104" s="3">
        <v>1.0832031</v>
      </c>
      <c r="E3104" s="1">
        <v>0.28149299999999999</v>
      </c>
      <c r="F3104" s="2">
        <v>0.45854752999999998</v>
      </c>
    </row>
    <row r="3105" spans="1:6" x14ac:dyDescent="0.25">
      <c r="A3105" t="s">
        <v>6</v>
      </c>
      <c r="B3105" s="5" t="str">
        <f>HYPERLINK("http://www.broadinstitute.org/gsea/msigdb/cards/GOBP_L_GLUTAMATE_TRANSMEMBRANE_TRANSPORT.html","GOBP_L_GLUTAMATE_TRANSMEMBRANE_TRANSPORT")</f>
        <v>GOBP_L_GLUTAMATE_TRANSMEMBRANE_TRANSPORT</v>
      </c>
      <c r="C3105" s="4">
        <v>27</v>
      </c>
      <c r="D3105" s="3">
        <v>1.083019</v>
      </c>
      <c r="E3105" s="1">
        <v>0.34505861999999998</v>
      </c>
      <c r="F3105" s="2">
        <v>0.45881397000000002</v>
      </c>
    </row>
    <row r="3106" spans="1:6" x14ac:dyDescent="0.25">
      <c r="A3106" t="s">
        <v>6</v>
      </c>
      <c r="B3106" s="5" t="str">
        <f>HYPERLINK("http://www.broadinstitute.org/gsea/msigdb/cards/GOBP_LUNG_MORPHOGENESIS.html","GOBP_LUNG_MORPHOGENESIS")</f>
        <v>GOBP_LUNG_MORPHOGENESIS</v>
      </c>
      <c r="C3106" s="4">
        <v>73</v>
      </c>
      <c r="D3106" s="3">
        <v>1.0828439999999999</v>
      </c>
      <c r="E3106" s="1">
        <v>0.31345567000000002</v>
      </c>
      <c r="F3106" s="2">
        <v>0.45900479999999999</v>
      </c>
    </row>
    <row r="3107" spans="1:6" x14ac:dyDescent="0.25">
      <c r="A3107" t="s">
        <v>6</v>
      </c>
      <c r="B3107" s="5" t="str">
        <f>HYPERLINK("http://www.broadinstitute.org/gsea/msigdb/cards/GOBP_CATECHOL_CONTAINING_COMPOUND_METABOLIC_PROCESS.html","GOBP_CATECHOL_CONTAINING_COMPOUND_METABOLIC_PROCESS")</f>
        <v>GOBP_CATECHOL_CONTAINING_COMPOUND_METABOLIC_PROCESS</v>
      </c>
      <c r="C3107" s="4">
        <v>61</v>
      </c>
      <c r="D3107" s="3">
        <v>1.0826757</v>
      </c>
      <c r="E3107" s="1">
        <v>0.30948678000000002</v>
      </c>
      <c r="F3107" s="2">
        <v>0.45921951999999999</v>
      </c>
    </row>
    <row r="3108" spans="1:6" x14ac:dyDescent="0.25">
      <c r="A3108" t="s">
        <v>7</v>
      </c>
      <c r="B3108" s="5" t="str">
        <f>HYPERLINK("http://www.broadinstitute.org/gsea/msigdb/cards/GOCC_ROUGH_ENDOPLASMIC_RETICULUM.html","GOCC_ROUGH_ENDOPLASMIC_RETICULUM")</f>
        <v>GOCC_ROUGH_ENDOPLASMIC_RETICULUM</v>
      </c>
      <c r="C3108" s="4">
        <v>44</v>
      </c>
      <c r="D3108" s="3">
        <v>1.0821624000000001</v>
      </c>
      <c r="E3108" s="1">
        <v>0.33119999999999999</v>
      </c>
      <c r="F3108" s="2">
        <v>0.46019926999999999</v>
      </c>
    </row>
    <row r="3109" spans="1:6" x14ac:dyDescent="0.25">
      <c r="A3109" t="s">
        <v>11</v>
      </c>
      <c r="B3109" s="5" t="str">
        <f>HYPERLINK("http://www.broadinstitute.org/gsea/msigdb/cards/WP_GPCRS_CLASS_B_SECRETIN_LIKE.html","WP_GPCRS_CLASS_B_SECRETIN_LIKE")</f>
        <v>WP_GPCRS_CLASS_B_SECRETIN_LIKE</v>
      </c>
      <c r="C3109" s="4">
        <v>22</v>
      </c>
      <c r="D3109" s="3">
        <v>1.0807494</v>
      </c>
      <c r="E3109" s="1">
        <v>0.35701906999999999</v>
      </c>
      <c r="F3109" s="2">
        <v>0.46315992</v>
      </c>
    </row>
    <row r="3110" spans="1:6" x14ac:dyDescent="0.25">
      <c r="A3110" t="s">
        <v>6</v>
      </c>
      <c r="B3110" s="5" t="str">
        <f>HYPERLINK("http://www.broadinstitute.org/gsea/msigdb/cards/GOBP_NEGATIVE_REGULATION_OF_NEURON_PROJECTION_DEVELOPMENT.html","GOBP_NEGATIVE_REGULATION_OF_NEURON_PROJECTION_DEVELOPMENT")</f>
        <v>GOBP_NEGATIVE_REGULATION_OF_NEURON_PROJECTION_DEVELOPMENT</v>
      </c>
      <c r="C3110" s="4">
        <v>162</v>
      </c>
      <c r="D3110" s="3">
        <v>1.0806247</v>
      </c>
      <c r="E3110" s="1">
        <v>0.2875354</v>
      </c>
      <c r="F3110" s="2">
        <v>0.46328469999999999</v>
      </c>
    </row>
    <row r="3111" spans="1:6" x14ac:dyDescent="0.25">
      <c r="A3111" t="s">
        <v>6</v>
      </c>
      <c r="B3111" s="5" t="str">
        <f>HYPERLINK("http://www.broadinstitute.org/gsea/msigdb/cards/GOBP_CELL_DIFFERENTIATION_INVOLVED_IN_EMBRYONIC_PLACENTA_DEVELOPMENT.html","GOBP_CELL_DIFFERENTIATION_INVOLVED_IN_EMBRYONIC_PLACENTA_DEVELOPMENT")</f>
        <v>GOBP_CELL_DIFFERENTIATION_INVOLVED_IN_EMBRYONIC_PLACENTA_DEVELOPMENT</v>
      </c>
      <c r="C3111" s="4">
        <v>29</v>
      </c>
      <c r="D3111" s="3">
        <v>1.0801239</v>
      </c>
      <c r="E3111" s="1">
        <v>0.34179356999999999</v>
      </c>
      <c r="F3111" s="2">
        <v>0.46422857000000001</v>
      </c>
    </row>
    <row r="3112" spans="1:6" x14ac:dyDescent="0.25">
      <c r="A3112" t="s">
        <v>8</v>
      </c>
      <c r="B3112" s="5" t="str">
        <f>HYPERLINK("http://www.broadinstitute.org/gsea/msigdb/cards/GOMF_CARBOHYDRATE_TRANSMEMBRANE_TRANSPORTER_ACTIVITY.html","GOMF_CARBOHYDRATE_TRANSMEMBRANE_TRANSPORTER_ACTIVITY")</f>
        <v>GOMF_CARBOHYDRATE_TRANSMEMBRANE_TRANSPORTER_ACTIVITY</v>
      </c>
      <c r="C3112" s="4">
        <v>36</v>
      </c>
      <c r="D3112" s="3">
        <v>1.0796101</v>
      </c>
      <c r="E3112" s="1">
        <v>0.34104937000000002</v>
      </c>
      <c r="F3112" s="2">
        <v>0.46519175000000001</v>
      </c>
    </row>
    <row r="3113" spans="1:6" x14ac:dyDescent="0.25">
      <c r="A3113" t="s">
        <v>8</v>
      </c>
      <c r="B3113" s="5" t="str">
        <f>HYPERLINK("http://www.broadinstitute.org/gsea/msigdb/cards/GOMF_STRUCTURAL_CONSTITUENT_OF_NUCLEAR_PORE.html","GOMF_STRUCTURAL_CONSTITUENT_OF_NUCLEAR_PORE")</f>
        <v>GOMF_STRUCTURAL_CONSTITUENT_OF_NUCLEAR_PORE</v>
      </c>
      <c r="C3113" s="4">
        <v>22</v>
      </c>
      <c r="D3113" s="3">
        <v>1.0795518</v>
      </c>
      <c r="E3113" s="1">
        <v>0.34863946000000001</v>
      </c>
      <c r="F3113" s="2">
        <v>0.46517825000000002</v>
      </c>
    </row>
    <row r="3114" spans="1:6" x14ac:dyDescent="0.25">
      <c r="A3114" t="s">
        <v>6</v>
      </c>
      <c r="B3114" s="5" t="str">
        <f>HYPERLINK("http://www.broadinstitute.org/gsea/msigdb/cards/GOBP_DNA_CATABOLIC_PROCESS.html","GOBP_DNA_CATABOLIC_PROCESS")</f>
        <v>GOBP_DNA_CATABOLIC_PROCESS</v>
      </c>
      <c r="C3114" s="4">
        <v>31</v>
      </c>
      <c r="D3114" s="3">
        <v>1.0788983999999999</v>
      </c>
      <c r="E3114" s="1">
        <v>0.34797296</v>
      </c>
      <c r="F3114" s="2">
        <v>0.46646312000000001</v>
      </c>
    </row>
    <row r="3115" spans="1:6" x14ac:dyDescent="0.25">
      <c r="A3115" t="s">
        <v>6</v>
      </c>
      <c r="B3115" s="5" t="str">
        <f>HYPERLINK("http://www.broadinstitute.org/gsea/msigdb/cards/GOBP_POSITIVE_REGULATION_OF_HEART_RATE.html","GOBP_POSITIVE_REGULATION_OF_HEART_RATE")</f>
        <v>GOBP_POSITIVE_REGULATION_OF_HEART_RATE</v>
      </c>
      <c r="C3115" s="4">
        <v>30</v>
      </c>
      <c r="D3115" s="3">
        <v>1.0786294999999999</v>
      </c>
      <c r="E3115" s="1">
        <v>0.34323432999999998</v>
      </c>
      <c r="F3115" s="2">
        <v>0.46690514999999999</v>
      </c>
    </row>
    <row r="3116" spans="1:6" x14ac:dyDescent="0.25">
      <c r="A3116" t="s">
        <v>10</v>
      </c>
      <c r="B3116" s="5" t="str">
        <f>HYPERLINK("http://www.broadinstitute.org/gsea/msigdb/cards/REACTOME_CYTOCHROME_P450_ARRANGED_BY_SUBSTRATE_TYPE.html","REACTOME_CYTOCHROME_P450_ARRANGED_BY_SUBSTRATE_TYPE")</f>
        <v>REACTOME_CYTOCHROME_P450_ARRANGED_BY_SUBSTRATE_TYPE</v>
      </c>
      <c r="C3116" s="4">
        <v>61</v>
      </c>
      <c r="D3116" s="3">
        <v>1.078298</v>
      </c>
      <c r="E3116" s="1">
        <v>0.32500000000000001</v>
      </c>
      <c r="F3116" s="2">
        <v>0.46749610000000003</v>
      </c>
    </row>
    <row r="3117" spans="1:6" x14ac:dyDescent="0.25">
      <c r="A3117" t="s">
        <v>6</v>
      </c>
      <c r="B3117" s="5" t="str">
        <f>HYPERLINK("http://www.broadinstitute.org/gsea/msigdb/cards/GOBP_REGULATION_OF_RELEASE_OF_CYTOCHROME_C_FROM_MITOCHONDRIA.html","GOBP_REGULATION_OF_RELEASE_OF_CYTOCHROME_C_FROM_MITOCHONDRIA")</f>
        <v>GOBP_REGULATION_OF_RELEASE_OF_CYTOCHROME_C_FROM_MITOCHONDRIA</v>
      </c>
      <c r="C3117" s="4">
        <v>50</v>
      </c>
      <c r="D3117" s="3">
        <v>1.078241</v>
      </c>
      <c r="E3117" s="1">
        <v>0.328125</v>
      </c>
      <c r="F3117" s="2">
        <v>0.46747538</v>
      </c>
    </row>
    <row r="3118" spans="1:6" x14ac:dyDescent="0.25">
      <c r="A3118" t="s">
        <v>7</v>
      </c>
      <c r="B3118" s="5" t="str">
        <f>HYPERLINK("http://www.broadinstitute.org/gsea/msigdb/cards/GOCC_PHOSPHATIDYLINOSITOL_3_KINASE_COMPLEX.html","GOCC_PHOSPHATIDYLINOSITOL_3_KINASE_COMPLEX")</f>
        <v>GOCC_PHOSPHATIDYLINOSITOL_3_KINASE_COMPLEX</v>
      </c>
      <c r="C3118" s="4">
        <v>29</v>
      </c>
      <c r="D3118" s="3">
        <v>1.0775486999999999</v>
      </c>
      <c r="E3118" s="1">
        <v>0.33443161999999999</v>
      </c>
      <c r="F3118" s="2">
        <v>0.46883392000000002</v>
      </c>
    </row>
    <row r="3119" spans="1:6" x14ac:dyDescent="0.25">
      <c r="A3119" t="s">
        <v>6</v>
      </c>
      <c r="B3119" s="5" t="str">
        <f>HYPERLINK("http://www.broadinstitute.org/gsea/msigdb/cards/GOBP_REGULATION_OF_NEUROGENESIS.html","GOBP_REGULATION_OF_NEUROGENESIS")</f>
        <v>GOBP_REGULATION_OF_NEUROGENESIS</v>
      </c>
      <c r="C3119" s="4">
        <v>479</v>
      </c>
      <c r="D3119" s="3">
        <v>1.077086</v>
      </c>
      <c r="E3119" s="1">
        <v>0.23743718999999999</v>
      </c>
      <c r="F3119" s="2">
        <v>0.46969944000000002</v>
      </c>
    </row>
    <row r="3120" spans="1:6" x14ac:dyDescent="0.25">
      <c r="A3120" t="s">
        <v>6</v>
      </c>
      <c r="B3120" s="5" t="str">
        <f>HYPERLINK("http://www.broadinstitute.org/gsea/msigdb/cards/GOBP_REGULATION_OF_MEMBRANE_DEPOLARIZATION.html","GOBP_REGULATION_OF_MEMBRANE_DEPOLARIZATION")</f>
        <v>GOBP_REGULATION_OF_MEMBRANE_DEPOLARIZATION</v>
      </c>
      <c r="C3120" s="4">
        <v>54</v>
      </c>
      <c r="D3120" s="3">
        <v>1.0769546999999999</v>
      </c>
      <c r="E3120" s="1">
        <v>0.32954547000000001</v>
      </c>
      <c r="F3120" s="2">
        <v>0.46984228</v>
      </c>
    </row>
    <row r="3121" spans="1:6" x14ac:dyDescent="0.25">
      <c r="A3121" t="s">
        <v>5</v>
      </c>
      <c r="B3121" s="5" t="str">
        <f>HYPERLINK("http://www.broadinstitute.org/gsea/msigdb/cards/BIOCARTA_BARRESTIN_SRC_PATHWAY.html","BIOCARTA_BARRESTIN_SRC_PATHWAY")</f>
        <v>BIOCARTA_BARRESTIN_SRC_PATHWAY</v>
      </c>
      <c r="C3121" s="4">
        <v>17</v>
      </c>
      <c r="D3121" s="3">
        <v>1.0766313999999999</v>
      </c>
      <c r="E3121" s="1">
        <v>0.34121620000000003</v>
      </c>
      <c r="F3121" s="2">
        <v>0.47041317999999999</v>
      </c>
    </row>
    <row r="3122" spans="1:6" x14ac:dyDescent="0.25">
      <c r="A3122" t="s">
        <v>6</v>
      </c>
      <c r="B3122" s="5" t="str">
        <f>HYPERLINK("http://www.broadinstitute.org/gsea/msigdb/cards/GOBP_MITRAL_VALVE_DEVELOPMENT.html","GOBP_MITRAL_VALVE_DEVELOPMENT")</f>
        <v>GOBP_MITRAL_VALVE_DEVELOPMENT</v>
      </c>
      <c r="C3122" s="4">
        <v>15</v>
      </c>
      <c r="D3122" s="3">
        <v>1.0763841000000001</v>
      </c>
      <c r="E3122" s="1">
        <v>0.3728223</v>
      </c>
      <c r="F3122" s="2">
        <v>0.47082916000000002</v>
      </c>
    </row>
    <row r="3123" spans="1:6" x14ac:dyDescent="0.25">
      <c r="A3123" t="s">
        <v>6</v>
      </c>
      <c r="B3123" s="5" t="str">
        <f>HYPERLINK("http://www.broadinstitute.org/gsea/msigdb/cards/GOBP_PYRIMIDINE_CONTAINING_COMPOUND_METABOLIC_PROCESS.html","GOBP_PYRIMIDINE_CONTAINING_COMPOUND_METABOLIC_PROCESS")</f>
        <v>GOBP_PYRIMIDINE_CONTAINING_COMPOUND_METABOLIC_PROCESS</v>
      </c>
      <c r="C3123" s="4">
        <v>64</v>
      </c>
      <c r="D3123" s="3">
        <v>1.0761429</v>
      </c>
      <c r="E3123" s="1">
        <v>0.32376397000000001</v>
      </c>
      <c r="F3123" s="2">
        <v>0.47117146999999998</v>
      </c>
    </row>
    <row r="3124" spans="1:6" x14ac:dyDescent="0.25">
      <c r="A3124" t="s">
        <v>6</v>
      </c>
      <c r="B3124" s="5" t="str">
        <f>HYPERLINK("http://www.broadinstitute.org/gsea/msigdb/cards/GOBP_POSITIVE_REGULATION_OF_CHOLESTEROL_EFFLUX.html","GOBP_POSITIVE_REGULATION_OF_CHOLESTEROL_EFFLUX")</f>
        <v>GOBP_POSITIVE_REGULATION_OF_CHOLESTEROL_EFFLUX</v>
      </c>
      <c r="C3124" s="4">
        <v>32</v>
      </c>
      <c r="D3124" s="3">
        <v>1.076074</v>
      </c>
      <c r="E3124" s="1">
        <v>0.32786884999999999</v>
      </c>
      <c r="F3124" s="2">
        <v>0.47116348000000002</v>
      </c>
    </row>
    <row r="3125" spans="1:6" x14ac:dyDescent="0.25">
      <c r="A3125" t="s">
        <v>6</v>
      </c>
      <c r="B3125" s="5" t="str">
        <f>HYPERLINK("http://www.broadinstitute.org/gsea/msigdb/cards/GOBP_PHENOL_CONTAINING_COMPOUND_METABOLIC_PROCESS.html","GOBP_PHENOL_CONTAINING_COMPOUND_METABOLIC_PROCESS")</f>
        <v>GOBP_PHENOL_CONTAINING_COMPOUND_METABOLIC_PROCESS</v>
      </c>
      <c r="C3125" s="4">
        <v>121</v>
      </c>
      <c r="D3125" s="3">
        <v>1.0760586999999999</v>
      </c>
      <c r="E3125" s="1">
        <v>0.31626504999999999</v>
      </c>
      <c r="F3125" s="2">
        <v>0.47104721999999999</v>
      </c>
    </row>
    <row r="3126" spans="1:6" x14ac:dyDescent="0.25">
      <c r="A3126" t="s">
        <v>10</v>
      </c>
      <c r="B3126" s="5" t="str">
        <f>HYPERLINK("http://www.broadinstitute.org/gsea/msigdb/cards/REACTOME_ACYL_CHAIN_REMODELLING_OF_PC.html","REACTOME_ACYL_CHAIN_REMODELLING_OF_PC")</f>
        <v>REACTOME_ACYL_CHAIN_REMODELLING_OF_PC</v>
      </c>
      <c r="C3126" s="4">
        <v>25</v>
      </c>
      <c r="D3126" s="3">
        <v>1.0754305</v>
      </c>
      <c r="E3126" s="1">
        <v>0.360601</v>
      </c>
      <c r="F3126" s="2">
        <v>0.47234344</v>
      </c>
    </row>
    <row r="3127" spans="1:6" x14ac:dyDescent="0.25">
      <c r="A3127" t="s">
        <v>6</v>
      </c>
      <c r="B3127" s="5" t="str">
        <f>HYPERLINK("http://www.broadinstitute.org/gsea/msigdb/cards/GOBP_POSITIVE_REGULATION_OF_PEPTIDYL_LYSINE_ACETYLATION.html","GOBP_POSITIVE_REGULATION_OF_PEPTIDYL_LYSINE_ACETYLATION")</f>
        <v>GOBP_POSITIVE_REGULATION_OF_PEPTIDYL_LYSINE_ACETYLATION</v>
      </c>
      <c r="C3127" s="4">
        <v>20</v>
      </c>
      <c r="D3127" s="3">
        <v>1.0753577999999999</v>
      </c>
      <c r="E3127" s="1">
        <v>0.33783785</v>
      </c>
      <c r="F3127" s="2">
        <v>0.47236119999999998</v>
      </c>
    </row>
    <row r="3128" spans="1:6" x14ac:dyDescent="0.25">
      <c r="A3128" t="s">
        <v>6</v>
      </c>
      <c r="B3128" s="5" t="str">
        <f>HYPERLINK("http://www.broadinstitute.org/gsea/msigdb/cards/GOBP_GLYCOLYTIC_PROCESS.html","GOBP_GLYCOLYTIC_PROCESS")</f>
        <v>GOBP_GLYCOLYTIC_PROCESS</v>
      </c>
      <c r="C3128" s="4">
        <v>97</v>
      </c>
      <c r="D3128" s="3">
        <v>1.0752938999999999</v>
      </c>
      <c r="E3128" s="1">
        <v>0.31428572999999999</v>
      </c>
      <c r="F3128" s="2">
        <v>0.47235485999999999</v>
      </c>
    </row>
    <row r="3129" spans="1:6" x14ac:dyDescent="0.25">
      <c r="A3129" t="s">
        <v>6</v>
      </c>
      <c r="B3129" s="5" t="str">
        <f>HYPERLINK("http://www.broadinstitute.org/gsea/msigdb/cards/GOBP_ACTOMYOSIN_STRUCTURE_ORGANIZATION.html","GOBP_ACTOMYOSIN_STRUCTURE_ORGANIZATION")</f>
        <v>GOBP_ACTOMYOSIN_STRUCTURE_ORGANIZATION</v>
      </c>
      <c r="C3129" s="4">
        <v>215</v>
      </c>
      <c r="D3129" s="3">
        <v>1.0748513</v>
      </c>
      <c r="E3129" s="1">
        <v>0.27615060000000002</v>
      </c>
      <c r="F3129" s="2">
        <v>0.47317025000000001</v>
      </c>
    </row>
    <row r="3130" spans="1:6" x14ac:dyDescent="0.25">
      <c r="A3130" t="s">
        <v>6</v>
      </c>
      <c r="B3130" s="5" t="str">
        <f>HYPERLINK("http://www.broadinstitute.org/gsea/msigdb/cards/GOBP_SPECIFICATION_OF_SYMMETRY.html","GOBP_SPECIFICATION_OF_SYMMETRY")</f>
        <v>GOBP_SPECIFICATION_OF_SYMMETRY</v>
      </c>
      <c r="C3130" s="4">
        <v>141</v>
      </c>
      <c r="D3130" s="3">
        <v>1.0743666000000001</v>
      </c>
      <c r="E3130" s="1">
        <v>0.30513596999999998</v>
      </c>
      <c r="F3130" s="2">
        <v>0.47411120000000001</v>
      </c>
    </row>
    <row r="3131" spans="1:6" x14ac:dyDescent="0.25">
      <c r="A3131" t="s">
        <v>6</v>
      </c>
      <c r="B3131" s="5" t="str">
        <f>HYPERLINK("http://www.broadinstitute.org/gsea/msigdb/cards/GOBP_PHOSPHOLIPID_METABOLIC_PROCESS.html","GOBP_PHOSPHOLIPID_METABOLIC_PROCESS")</f>
        <v>GOBP_PHOSPHOLIPID_METABOLIC_PROCESS</v>
      </c>
      <c r="C3131" s="4">
        <v>355</v>
      </c>
      <c r="D3131" s="3">
        <v>1.0742940000000001</v>
      </c>
      <c r="E3131" s="1">
        <v>0.26482212999999999</v>
      </c>
      <c r="F3131" s="2">
        <v>0.47412926</v>
      </c>
    </row>
    <row r="3132" spans="1:6" x14ac:dyDescent="0.25">
      <c r="A3132" t="s">
        <v>6</v>
      </c>
      <c r="B3132" s="5" t="str">
        <f>HYPERLINK("http://www.broadinstitute.org/gsea/msigdb/cards/GOBP_REGULATION_OF_MUSCLE_CONTRACTION.html","GOBP_REGULATION_OF_MUSCLE_CONTRACTION")</f>
        <v>GOBP_REGULATION_OF_MUSCLE_CONTRACTION</v>
      </c>
      <c r="C3132" s="4">
        <v>165</v>
      </c>
      <c r="D3132" s="3">
        <v>1.074174</v>
      </c>
      <c r="E3132" s="1">
        <v>0.28448275000000001</v>
      </c>
      <c r="F3132" s="2">
        <v>0.47424889999999997</v>
      </c>
    </row>
    <row r="3133" spans="1:6" x14ac:dyDescent="0.25">
      <c r="A3133" t="s">
        <v>6</v>
      </c>
      <c r="B3133" s="5" t="str">
        <f>HYPERLINK("http://www.broadinstitute.org/gsea/msigdb/cards/GOBP_REGULATION_OF_CARDIAC_MUSCLE_CONTRACTION.html","GOBP_REGULATION_OF_CARDIAC_MUSCLE_CONTRACTION")</f>
        <v>GOBP_REGULATION_OF_CARDIAC_MUSCLE_CONTRACTION</v>
      </c>
      <c r="C3133" s="4">
        <v>70</v>
      </c>
      <c r="D3133" s="3">
        <v>1.0737013</v>
      </c>
      <c r="E3133" s="1">
        <v>0.32983509999999999</v>
      </c>
      <c r="F3133" s="2">
        <v>0.47513348</v>
      </c>
    </row>
    <row r="3134" spans="1:6" x14ac:dyDescent="0.25">
      <c r="A3134" t="s">
        <v>7</v>
      </c>
      <c r="B3134" s="5" t="str">
        <f>HYPERLINK("http://www.broadinstitute.org/gsea/msigdb/cards/GOCC_ACROSOMAL_MEMBRANE.html","GOCC_ACROSOMAL_MEMBRANE")</f>
        <v>GOCC_ACROSOMAL_MEMBRANE</v>
      </c>
      <c r="C3134" s="4">
        <v>25</v>
      </c>
      <c r="D3134" s="3">
        <v>1.0734227999999999</v>
      </c>
      <c r="E3134" s="1">
        <v>0.36953000000000003</v>
      </c>
      <c r="F3134" s="2">
        <v>0.47559372</v>
      </c>
    </row>
    <row r="3135" spans="1:6" x14ac:dyDescent="0.25">
      <c r="A3135" t="s">
        <v>6</v>
      </c>
      <c r="B3135" s="5" t="str">
        <f>HYPERLINK("http://www.broadinstitute.org/gsea/msigdb/cards/GOBP_CYTOSKELETON_DEPENDENT_CYTOKINESIS.html","GOBP_CYTOSKELETON_DEPENDENT_CYTOKINESIS")</f>
        <v>GOBP_CYTOSKELETON_DEPENDENT_CYTOKINESIS</v>
      </c>
      <c r="C3135" s="4">
        <v>105</v>
      </c>
      <c r="D3135" s="3">
        <v>1.073391</v>
      </c>
      <c r="E3135" s="1">
        <v>0.31578946000000002</v>
      </c>
      <c r="F3135" s="2">
        <v>0.47551048000000001</v>
      </c>
    </row>
    <row r="3136" spans="1:6" x14ac:dyDescent="0.25">
      <c r="A3136" t="s">
        <v>6</v>
      </c>
      <c r="B3136" s="5" t="str">
        <f>HYPERLINK("http://www.broadinstitute.org/gsea/msigdb/cards/GOBP_REGULATION_OF_PRESYNAPSE_ORGANIZATION.html","GOBP_REGULATION_OF_PRESYNAPSE_ORGANIZATION")</f>
        <v>GOBP_REGULATION_OF_PRESYNAPSE_ORGANIZATION</v>
      </c>
      <c r="C3136" s="4">
        <v>43</v>
      </c>
      <c r="D3136" s="3">
        <v>1.0733215</v>
      </c>
      <c r="E3136" s="1">
        <v>0.33768353000000001</v>
      </c>
      <c r="F3136" s="2">
        <v>0.47551019999999999</v>
      </c>
    </row>
    <row r="3137" spans="1:6" x14ac:dyDescent="0.25">
      <c r="A3137" t="s">
        <v>6</v>
      </c>
      <c r="B3137" s="5" t="str">
        <f>HYPERLINK("http://www.broadinstitute.org/gsea/msigdb/cards/GOBP_MAGNESIUM_ION_TRANSPORT.html","GOBP_MAGNESIUM_ION_TRANSPORT")</f>
        <v>GOBP_MAGNESIUM_ION_TRANSPORT</v>
      </c>
      <c r="C3137" s="4">
        <v>17</v>
      </c>
      <c r="D3137" s="3">
        <v>1.0727233</v>
      </c>
      <c r="E3137" s="1">
        <v>0.37349397000000001</v>
      </c>
      <c r="F3137" s="2">
        <v>0.4766784</v>
      </c>
    </row>
    <row r="3138" spans="1:6" x14ac:dyDescent="0.25">
      <c r="A3138" t="s">
        <v>6</v>
      </c>
      <c r="B3138" s="5" t="str">
        <f>HYPERLINK("http://www.broadinstitute.org/gsea/msigdb/cards/GOBP_RESPONSE_TO_LEAD_ION.html","GOBP_RESPONSE_TO_LEAD_ION")</f>
        <v>GOBP_RESPONSE_TO_LEAD_ION</v>
      </c>
      <c r="C3138" s="4">
        <v>15</v>
      </c>
      <c r="D3138" s="3">
        <v>1.0725336000000001</v>
      </c>
      <c r="E3138" s="1">
        <v>0.36177473999999998</v>
      </c>
      <c r="F3138" s="2">
        <v>0.47695860000000001</v>
      </c>
    </row>
    <row r="3139" spans="1:6" x14ac:dyDescent="0.25">
      <c r="A3139" t="s">
        <v>6</v>
      </c>
      <c r="B3139" s="5" t="str">
        <f>HYPERLINK("http://www.broadinstitute.org/gsea/msigdb/cards/GOBP_PURINE_NUCLEOTIDE_TRANSPORT.html","GOBP_PURINE_NUCLEOTIDE_TRANSPORT")</f>
        <v>GOBP_PURINE_NUCLEOTIDE_TRANSPORT</v>
      </c>
      <c r="C3139" s="4">
        <v>30</v>
      </c>
      <c r="D3139" s="3">
        <v>1.0724539</v>
      </c>
      <c r="E3139" s="1">
        <v>0.34060404</v>
      </c>
      <c r="F3139" s="2">
        <v>0.47697099999999998</v>
      </c>
    </row>
    <row r="3140" spans="1:6" x14ac:dyDescent="0.25">
      <c r="A3140" t="s">
        <v>6</v>
      </c>
      <c r="B3140" s="5" t="str">
        <f>HYPERLINK("http://www.broadinstitute.org/gsea/msigdb/cards/GOBP_PURINE_CONTAINING_COMPOUND_TRANSMEMBRANE_TRANSPORT.html","GOBP_PURINE_CONTAINING_COMPOUND_TRANSMEMBRANE_TRANSPORT")</f>
        <v>GOBP_PURINE_CONTAINING_COMPOUND_TRANSMEMBRANE_TRANSPORT</v>
      </c>
      <c r="C3140" s="4">
        <v>24</v>
      </c>
      <c r="D3140" s="3">
        <v>1.0718521999999999</v>
      </c>
      <c r="E3140" s="1">
        <v>0.36789297999999998</v>
      </c>
      <c r="F3140" s="2">
        <v>0.47815639999999998</v>
      </c>
    </row>
    <row r="3141" spans="1:6" x14ac:dyDescent="0.25">
      <c r="A3141" t="s">
        <v>10</v>
      </c>
      <c r="B3141" s="5" t="str">
        <f>HYPERLINK("http://www.broadinstitute.org/gsea/msigdb/cards/REACTOME_DARPP_32_EVENTS.html","REACTOME_DARPP_32_EVENTS")</f>
        <v>REACTOME_DARPP_32_EVENTS</v>
      </c>
      <c r="C3141" s="4">
        <v>17</v>
      </c>
      <c r="D3141" s="3">
        <v>1.0715958000000001</v>
      </c>
      <c r="E3141" s="1">
        <v>0.35638297000000002</v>
      </c>
      <c r="F3141" s="2">
        <v>0.47856534000000001</v>
      </c>
    </row>
    <row r="3142" spans="1:6" x14ac:dyDescent="0.25">
      <c r="A3142" t="s">
        <v>6</v>
      </c>
      <c r="B3142" s="5" t="str">
        <f>HYPERLINK("http://www.broadinstitute.org/gsea/msigdb/cards/GOBP_NEGATIVE_REGULATION_OF_ANOIKIS.html","GOBP_NEGATIVE_REGULATION_OF_ANOIKIS")</f>
        <v>GOBP_NEGATIVE_REGULATION_OF_ANOIKIS</v>
      </c>
      <c r="C3142" s="4">
        <v>15</v>
      </c>
      <c r="D3142" s="3">
        <v>1.0714178999999999</v>
      </c>
      <c r="E3142" s="1">
        <v>0.37184116</v>
      </c>
      <c r="F3142" s="2">
        <v>0.47880630000000002</v>
      </c>
    </row>
    <row r="3143" spans="1:6" x14ac:dyDescent="0.25">
      <c r="A3143" t="s">
        <v>10</v>
      </c>
      <c r="B3143" s="5" t="str">
        <f>HYPERLINK("http://www.broadinstitute.org/gsea/msigdb/cards/REACTOME_SEMAPHORIN_INTERACTIONS.html","REACTOME_SEMAPHORIN_INTERACTIONS")</f>
        <v>REACTOME_SEMAPHORIN_INTERACTIONS</v>
      </c>
      <c r="C3143" s="4">
        <v>50</v>
      </c>
      <c r="D3143" s="3">
        <v>1.071364</v>
      </c>
      <c r="E3143" s="1">
        <v>0.34745762000000002</v>
      </c>
      <c r="F3143" s="2">
        <v>0.47877695999999997</v>
      </c>
    </row>
    <row r="3144" spans="1:6" x14ac:dyDescent="0.25">
      <c r="A3144" t="s">
        <v>8</v>
      </c>
      <c r="B3144" s="5" t="str">
        <f>HYPERLINK("http://www.broadinstitute.org/gsea/msigdb/cards/GOMF_FERROUS_IRON_BINDING.html","GOMF_FERROUS_IRON_BINDING")</f>
        <v>GOMF_FERROUS_IRON_BINDING</v>
      </c>
      <c r="C3144" s="4">
        <v>26</v>
      </c>
      <c r="D3144" s="3">
        <v>1.0708723</v>
      </c>
      <c r="E3144" s="1">
        <v>0.35343384999999999</v>
      </c>
      <c r="F3144" s="2">
        <v>0.47967303</v>
      </c>
    </row>
    <row r="3145" spans="1:6" x14ac:dyDescent="0.25">
      <c r="A3145" t="s">
        <v>10</v>
      </c>
      <c r="B3145" s="5" t="str">
        <f>HYPERLINK("http://www.broadinstitute.org/gsea/msigdb/cards/REACTOME_DOWNSTREAM_SIGNAL_TRANSDUCTION.html","REACTOME_DOWNSTREAM_SIGNAL_TRANSDUCTION")</f>
        <v>REACTOME_DOWNSTREAM_SIGNAL_TRANSDUCTION</v>
      </c>
      <c r="C3145" s="4">
        <v>27</v>
      </c>
      <c r="D3145" s="3">
        <v>1.0705998999999999</v>
      </c>
      <c r="E3145" s="1">
        <v>0.37851237999999998</v>
      </c>
      <c r="F3145" s="2">
        <v>0.48015996999999999</v>
      </c>
    </row>
    <row r="3146" spans="1:6" x14ac:dyDescent="0.25">
      <c r="A3146" t="s">
        <v>6</v>
      </c>
      <c r="B3146" s="5" t="str">
        <f>HYPERLINK("http://www.broadinstitute.org/gsea/msigdb/cards/GOBP_RESPONSE_TO_ALCOHOL.html","GOBP_RESPONSE_TO_ALCOHOL")</f>
        <v>GOBP_RESPONSE_TO_ALCOHOL</v>
      </c>
      <c r="C3146" s="4">
        <v>178</v>
      </c>
      <c r="D3146" s="3">
        <v>1.0699421</v>
      </c>
      <c r="E3146" s="1">
        <v>0.28805969999999997</v>
      </c>
      <c r="F3146" s="2">
        <v>0.48148453000000002</v>
      </c>
    </row>
    <row r="3147" spans="1:6" x14ac:dyDescent="0.25">
      <c r="A3147" t="s">
        <v>6</v>
      </c>
      <c r="B3147" s="5" t="str">
        <f>HYPERLINK("http://www.broadinstitute.org/gsea/msigdb/cards/GOBP_REGULATION_OF_NEURAL_PRECURSOR_CELL_PROLIFERATION.html","GOBP_REGULATION_OF_NEURAL_PRECURSOR_CELL_PROLIFERATION")</f>
        <v>GOBP_REGULATION_OF_NEURAL_PRECURSOR_CELL_PROLIFERATION</v>
      </c>
      <c r="C3147" s="4">
        <v>134</v>
      </c>
      <c r="D3147" s="3">
        <v>1.069385</v>
      </c>
      <c r="E3147" s="1">
        <v>0.31678832000000001</v>
      </c>
      <c r="F3147" s="2">
        <v>0.48259081999999998</v>
      </c>
    </row>
    <row r="3148" spans="1:6" x14ac:dyDescent="0.25">
      <c r="A3148" t="s">
        <v>8</v>
      </c>
      <c r="B3148" s="5" t="str">
        <f>HYPERLINK("http://www.broadinstitute.org/gsea/msigdb/cards/GOMF_PROTEIN_PHOSPHATASE_1_BINDING.html","GOMF_PROTEIN_PHOSPHATASE_1_BINDING")</f>
        <v>GOMF_PROTEIN_PHOSPHATASE_1_BINDING</v>
      </c>
      <c r="C3148" s="4">
        <v>28</v>
      </c>
      <c r="D3148" s="3">
        <v>1.0693497999999999</v>
      </c>
      <c r="E3148" s="1">
        <v>0.35858585999999998</v>
      </c>
      <c r="F3148" s="2">
        <v>0.48252191999999999</v>
      </c>
    </row>
    <row r="3149" spans="1:6" x14ac:dyDescent="0.25">
      <c r="A3149" t="s">
        <v>8</v>
      </c>
      <c r="B3149" s="5" t="str">
        <f>HYPERLINK("http://www.broadinstitute.org/gsea/msigdb/cards/GOMF_MODIFIED_AMINO_ACID_BINDING.html","GOMF_MODIFIED_AMINO_ACID_BINDING")</f>
        <v>GOMF_MODIFIED_AMINO_ACID_BINDING</v>
      </c>
      <c r="C3149" s="4">
        <v>90</v>
      </c>
      <c r="D3149" s="3">
        <v>1.0692914</v>
      </c>
      <c r="E3149" s="1">
        <v>0.31191224000000001</v>
      </c>
      <c r="F3149" s="2">
        <v>0.48249954</v>
      </c>
    </row>
    <row r="3150" spans="1:6" x14ac:dyDescent="0.25">
      <c r="A3150" t="s">
        <v>6</v>
      </c>
      <c r="B3150" s="5" t="str">
        <f>HYPERLINK("http://www.broadinstitute.org/gsea/msigdb/cards/GOBP_HYDROGEN_PEROXIDE_METABOLIC_PROCESS.html","GOBP_HYDROGEN_PEROXIDE_METABOLIC_PROCESS")</f>
        <v>GOBP_HYDROGEN_PEROXIDE_METABOLIC_PROCESS</v>
      </c>
      <c r="C3150" s="4">
        <v>50</v>
      </c>
      <c r="D3150" s="3">
        <v>1.0692090000000001</v>
      </c>
      <c r="E3150" s="1">
        <v>0.32970452</v>
      </c>
      <c r="F3150" s="2">
        <v>0.48253562999999999</v>
      </c>
    </row>
    <row r="3151" spans="1:6" x14ac:dyDescent="0.25">
      <c r="A3151" t="s">
        <v>6</v>
      </c>
      <c r="B3151" s="5" t="str">
        <f>HYPERLINK("http://www.broadinstitute.org/gsea/msigdb/cards/GOBP_ALDEHYDE_BIOSYNTHETIC_PROCESS.html","GOBP_ALDEHYDE_BIOSYNTHETIC_PROCESS")</f>
        <v>GOBP_ALDEHYDE_BIOSYNTHETIC_PROCESS</v>
      </c>
      <c r="C3151" s="4">
        <v>27</v>
      </c>
      <c r="D3151" s="3">
        <v>1.0691185999999999</v>
      </c>
      <c r="E3151" s="1">
        <v>0.35445204000000002</v>
      </c>
      <c r="F3151" s="2">
        <v>0.48258509999999999</v>
      </c>
    </row>
    <row r="3152" spans="1:6" x14ac:dyDescent="0.25">
      <c r="A3152" t="s">
        <v>6</v>
      </c>
      <c r="B3152" s="5" t="str">
        <f>HYPERLINK("http://www.broadinstitute.org/gsea/msigdb/cards/GOBP_FATTY_ACYL_COA_METABOLIC_PROCESS.html","GOBP_FATTY_ACYL_COA_METABOLIC_PROCESS")</f>
        <v>GOBP_FATTY_ACYL_COA_METABOLIC_PROCESS</v>
      </c>
      <c r="C3152" s="4">
        <v>18</v>
      </c>
      <c r="D3152" s="3">
        <v>1.0680878</v>
      </c>
      <c r="E3152" s="1">
        <v>0.36283186000000001</v>
      </c>
      <c r="F3152" s="2">
        <v>0.48474171999999999</v>
      </c>
    </row>
    <row r="3153" spans="1:6" x14ac:dyDescent="0.25">
      <c r="A3153" t="s">
        <v>8</v>
      </c>
      <c r="B3153" s="5" t="str">
        <f>HYPERLINK("http://www.broadinstitute.org/gsea/msigdb/cards/GOMF_HSP90_PROTEIN_BINDING.html","GOMF_HSP90_PROTEIN_BINDING")</f>
        <v>GOMF_HSP90_PROTEIN_BINDING</v>
      </c>
      <c r="C3153" s="4">
        <v>50</v>
      </c>
      <c r="D3153" s="3">
        <v>1.0674036</v>
      </c>
      <c r="E3153" s="1">
        <v>0.34257749999999998</v>
      </c>
      <c r="F3153" s="2">
        <v>0.48611480000000001</v>
      </c>
    </row>
    <row r="3154" spans="1:6" x14ac:dyDescent="0.25">
      <c r="A3154" t="s">
        <v>7</v>
      </c>
      <c r="B3154" s="5" t="str">
        <f>HYPERLINK("http://www.broadinstitute.org/gsea/msigdb/cards/GOCC_SCHMIDT_LANTERMAN_INCISURE.html","GOCC_SCHMIDT_LANTERMAN_INCISURE")</f>
        <v>GOCC_SCHMIDT_LANTERMAN_INCISURE</v>
      </c>
      <c r="C3154" s="4">
        <v>16</v>
      </c>
      <c r="D3154" s="3">
        <v>1.0673018999999999</v>
      </c>
      <c r="E3154" s="1">
        <v>0.37368420000000002</v>
      </c>
      <c r="F3154" s="2">
        <v>0.48619097</v>
      </c>
    </row>
    <row r="3155" spans="1:6" x14ac:dyDescent="0.25">
      <c r="A3155" t="s">
        <v>6</v>
      </c>
      <c r="B3155" s="5" t="str">
        <f>HYPERLINK("http://www.broadinstitute.org/gsea/msigdb/cards/GOBP_POSTSYNAPSE_ASSEMBLY.html","GOBP_POSTSYNAPSE_ASSEMBLY")</f>
        <v>GOBP_POSTSYNAPSE_ASSEMBLY</v>
      </c>
      <c r="C3155" s="4">
        <v>49</v>
      </c>
      <c r="D3155" s="3">
        <v>1.0668820999999999</v>
      </c>
      <c r="E3155" s="1">
        <v>0.35587760000000002</v>
      </c>
      <c r="F3155" s="2">
        <v>0.48696423</v>
      </c>
    </row>
    <row r="3156" spans="1:6" x14ac:dyDescent="0.25">
      <c r="A3156" t="s">
        <v>6</v>
      </c>
      <c r="B3156" s="5" t="str">
        <f>HYPERLINK("http://www.broadinstitute.org/gsea/msigdb/cards/GOBP_GLYCEROPHOSPHOLIPID_METABOLIC_PROCESS.html","GOBP_GLYCEROPHOSPHOLIPID_METABOLIC_PROCESS")</f>
        <v>GOBP_GLYCEROPHOSPHOLIPID_METABOLIC_PROCESS</v>
      </c>
      <c r="C3156" s="4">
        <v>270</v>
      </c>
      <c r="D3156" s="3">
        <v>1.0667504999999999</v>
      </c>
      <c r="E3156" s="1">
        <v>0.30945945000000002</v>
      </c>
      <c r="F3156" s="2">
        <v>0.48709629999999998</v>
      </c>
    </row>
    <row r="3157" spans="1:6" x14ac:dyDescent="0.25">
      <c r="A3157" t="s">
        <v>6</v>
      </c>
      <c r="B3157" s="5" t="str">
        <f>HYPERLINK("http://www.broadinstitute.org/gsea/msigdb/cards/GOBP_RESPONSE_TO_INTERLEUKIN_6.html","GOBP_RESPONSE_TO_INTERLEUKIN_6")</f>
        <v>GOBP_RESPONSE_TO_INTERLEUKIN_6</v>
      </c>
      <c r="C3157" s="4">
        <v>32</v>
      </c>
      <c r="D3157" s="3">
        <v>1.0663400999999999</v>
      </c>
      <c r="E3157" s="1">
        <v>0.38539898</v>
      </c>
      <c r="F3157" s="2">
        <v>0.48785317</v>
      </c>
    </row>
    <row r="3158" spans="1:6" x14ac:dyDescent="0.25">
      <c r="A3158" t="s">
        <v>6</v>
      </c>
      <c r="B3158" s="5" t="str">
        <f>HYPERLINK("http://www.broadinstitute.org/gsea/msigdb/cards/GOBP_REGULATION_OF_INSULIN_SECRETION.html","GOBP_REGULATION_OF_INSULIN_SECRETION")</f>
        <v>GOBP_REGULATION_OF_INSULIN_SECRETION</v>
      </c>
      <c r="C3158" s="4">
        <v>206</v>
      </c>
      <c r="D3158" s="3">
        <v>1.064351</v>
      </c>
      <c r="E3158" s="1">
        <v>0.29583332000000001</v>
      </c>
      <c r="F3158" s="2">
        <v>0.49219800000000002</v>
      </c>
    </row>
    <row r="3159" spans="1:6" x14ac:dyDescent="0.25">
      <c r="A3159" t="s">
        <v>7</v>
      </c>
      <c r="B3159" s="5" t="str">
        <f>HYPERLINK("http://www.broadinstitute.org/gsea/msigdb/cards/GOCC_INTERSTITIAL_MATRIX.html","GOCC_INTERSTITIAL_MATRIX")</f>
        <v>GOCC_INTERSTITIAL_MATRIX</v>
      </c>
      <c r="C3159" s="4">
        <v>17</v>
      </c>
      <c r="D3159" s="3">
        <v>1.0639896</v>
      </c>
      <c r="E3159" s="1">
        <v>0.37108013000000001</v>
      </c>
      <c r="F3159" s="2">
        <v>0.49286002000000001</v>
      </c>
    </row>
    <row r="3160" spans="1:6" x14ac:dyDescent="0.25">
      <c r="A3160" t="s">
        <v>6</v>
      </c>
      <c r="B3160" s="5" t="str">
        <f>HYPERLINK("http://www.broadinstitute.org/gsea/msigdb/cards/GOBP_TELENCEPHALON_GLIAL_CELL_MIGRATION.html","GOBP_TELENCEPHALON_GLIAL_CELL_MIGRATION")</f>
        <v>GOBP_TELENCEPHALON_GLIAL_CELL_MIGRATION</v>
      </c>
      <c r="C3160" s="4">
        <v>28</v>
      </c>
      <c r="D3160" s="3">
        <v>1.0632649999999999</v>
      </c>
      <c r="E3160" s="1">
        <v>0.37478992</v>
      </c>
      <c r="F3160" s="2">
        <v>0.49433633999999999</v>
      </c>
    </row>
    <row r="3161" spans="1:6" x14ac:dyDescent="0.25">
      <c r="A3161" t="s">
        <v>6</v>
      </c>
      <c r="B3161" s="5" t="str">
        <f>HYPERLINK("http://www.broadinstitute.org/gsea/msigdb/cards/GOBP_PROTEIN_LIPID_COMPLEX_ASSEMBLY.html","GOBP_PROTEIN_LIPID_COMPLEX_ASSEMBLY")</f>
        <v>GOBP_PROTEIN_LIPID_COMPLEX_ASSEMBLY</v>
      </c>
      <c r="C3161" s="4">
        <v>26</v>
      </c>
      <c r="D3161" s="3">
        <v>1.0631957999999999</v>
      </c>
      <c r="E3161" s="1">
        <v>0.38245034</v>
      </c>
      <c r="F3161" s="2">
        <v>0.49434233</v>
      </c>
    </row>
    <row r="3162" spans="1:6" x14ac:dyDescent="0.25">
      <c r="A3162" t="s">
        <v>8</v>
      </c>
      <c r="B3162" s="5" t="str">
        <f>HYPERLINK("http://www.broadinstitute.org/gsea/msigdb/cards/GOMF_INTRACELLULAR_LIGAND_GATED_MONOATOMIC_ION_CHANNEL_ACTIVITY.html","GOMF_INTRACELLULAR_LIGAND_GATED_MONOATOMIC_ION_CHANNEL_ACTIVITY")</f>
        <v>GOMF_INTRACELLULAR_LIGAND_GATED_MONOATOMIC_ION_CHANNEL_ACTIVITY</v>
      </c>
      <c r="C3162" s="4">
        <v>29</v>
      </c>
      <c r="D3162" s="3">
        <v>1.0631225</v>
      </c>
      <c r="E3162" s="1">
        <v>0.36833334000000001</v>
      </c>
      <c r="F3162" s="2">
        <v>0.49434623</v>
      </c>
    </row>
    <row r="3163" spans="1:6" x14ac:dyDescent="0.25">
      <c r="A3163" t="s">
        <v>6</v>
      </c>
      <c r="B3163" s="5" t="str">
        <f>HYPERLINK("http://www.broadinstitute.org/gsea/msigdb/cards/GOBP_ENDOSOME_TO_LYSOSOME_TRANSPORT.html","GOBP_ENDOSOME_TO_LYSOSOME_TRANSPORT")</f>
        <v>GOBP_ENDOSOME_TO_LYSOSOME_TRANSPORT</v>
      </c>
      <c r="C3163" s="4">
        <v>72</v>
      </c>
      <c r="D3163" s="3">
        <v>1.0631219999999999</v>
      </c>
      <c r="E3163" s="1">
        <v>0.32227489999999998</v>
      </c>
      <c r="F3163" s="2">
        <v>0.49418980000000001</v>
      </c>
    </row>
    <row r="3164" spans="1:6" x14ac:dyDescent="0.25">
      <c r="A3164" t="s">
        <v>6</v>
      </c>
      <c r="B3164" s="5" t="str">
        <f>HYPERLINK("http://www.broadinstitute.org/gsea/msigdb/cards/GOBP_RESPONSE_TO_STEROL_DEPLETION.html","GOBP_RESPONSE_TO_STEROL_DEPLETION")</f>
        <v>GOBP_RESPONSE_TO_STEROL_DEPLETION</v>
      </c>
      <c r="C3164" s="4">
        <v>16</v>
      </c>
      <c r="D3164" s="3">
        <v>1.0624990000000001</v>
      </c>
      <c r="E3164" s="1">
        <v>0.38045377000000002</v>
      </c>
      <c r="F3164" s="2">
        <v>0.49542466000000002</v>
      </c>
    </row>
    <row r="3165" spans="1:6" x14ac:dyDescent="0.25">
      <c r="A3165" t="s">
        <v>8</v>
      </c>
      <c r="B3165" s="5" t="str">
        <f>HYPERLINK("http://www.broadinstitute.org/gsea/msigdb/cards/GOMF_CERAMIDE_BINDING.html","GOMF_CERAMIDE_BINDING")</f>
        <v>GOMF_CERAMIDE_BINDING</v>
      </c>
      <c r="C3165" s="4">
        <v>18</v>
      </c>
      <c r="D3165" s="3">
        <v>1.0623990999999999</v>
      </c>
      <c r="E3165" s="1">
        <v>0.38037865999999998</v>
      </c>
      <c r="F3165" s="2">
        <v>0.49551770000000001</v>
      </c>
    </row>
    <row r="3166" spans="1:6" x14ac:dyDescent="0.25">
      <c r="A3166" t="s">
        <v>10</v>
      </c>
      <c r="B3166" s="5" t="str">
        <f>HYPERLINK("http://www.broadinstitute.org/gsea/msigdb/cards/REACTOME_RET_SIGNALING.html","REACTOME_RET_SIGNALING")</f>
        <v>REACTOME_RET_SIGNALING</v>
      </c>
      <c r="C3166" s="4">
        <v>38</v>
      </c>
      <c r="D3166" s="3">
        <v>1.0618749000000001</v>
      </c>
      <c r="E3166" s="1">
        <v>0.36808845000000001</v>
      </c>
      <c r="F3166" s="2">
        <v>0.49653760000000002</v>
      </c>
    </row>
    <row r="3167" spans="1:6" x14ac:dyDescent="0.25">
      <c r="A3167" t="s">
        <v>6</v>
      </c>
      <c r="B3167" s="5" t="str">
        <f>HYPERLINK("http://www.broadinstitute.org/gsea/msigdb/cards/GOBP_REGULATION_OF_NUCLEOBASE_CONTAINING_COMPOUND_TRANSPORT.html","GOBP_REGULATION_OF_NUCLEOBASE_CONTAINING_COMPOUND_TRANSPORT")</f>
        <v>GOBP_REGULATION_OF_NUCLEOBASE_CONTAINING_COMPOUND_TRANSPORT</v>
      </c>
      <c r="C3167" s="4">
        <v>16</v>
      </c>
      <c r="D3167" s="3">
        <v>1.0618179999999999</v>
      </c>
      <c r="E3167" s="1">
        <v>0.36789297999999998</v>
      </c>
      <c r="F3167" s="2">
        <v>0.49650830000000001</v>
      </c>
    </row>
    <row r="3168" spans="1:6" x14ac:dyDescent="0.25">
      <c r="A3168" t="s">
        <v>6</v>
      </c>
      <c r="B3168" s="5" t="str">
        <f>HYPERLINK("http://www.broadinstitute.org/gsea/msigdb/cards/GOBP_NEGATIVE_REGULATION_OF_LIPID_STORAGE.html","GOBP_NEGATIVE_REGULATION_OF_LIPID_STORAGE")</f>
        <v>GOBP_NEGATIVE_REGULATION_OF_LIPID_STORAGE</v>
      </c>
      <c r="C3168" s="4">
        <v>27</v>
      </c>
      <c r="D3168" s="3">
        <v>1.0617273</v>
      </c>
      <c r="E3168" s="1">
        <v>0.36557376000000003</v>
      </c>
      <c r="F3168" s="2">
        <v>0.49655050000000001</v>
      </c>
    </row>
    <row r="3169" spans="1:6" x14ac:dyDescent="0.25">
      <c r="A3169" t="s">
        <v>10</v>
      </c>
      <c r="B3169" s="5" t="str">
        <f>HYPERLINK("http://www.broadinstitute.org/gsea/msigdb/cards/REACTOME_SIGNALING_BY_BMP.html","REACTOME_SIGNALING_BY_BMP")</f>
        <v>REACTOME_SIGNALING_BY_BMP</v>
      </c>
      <c r="C3169" s="4">
        <v>30</v>
      </c>
      <c r="D3169" s="3">
        <v>1.0603144</v>
      </c>
      <c r="E3169" s="1">
        <v>0.35972460000000001</v>
      </c>
      <c r="F3169" s="2">
        <v>0.49961844</v>
      </c>
    </row>
    <row r="3170" spans="1:6" x14ac:dyDescent="0.25">
      <c r="A3170" t="s">
        <v>6</v>
      </c>
      <c r="B3170" s="5" t="str">
        <f>HYPERLINK("http://www.broadinstitute.org/gsea/msigdb/cards/GOBP_POSITIVE_REGULATION_OF_NERVOUS_SYSTEM_DEVELOPMENT.html","GOBP_POSITIVE_REGULATION_OF_NERVOUS_SYSTEM_DEVELOPMENT")</f>
        <v>GOBP_POSITIVE_REGULATION_OF_NERVOUS_SYSTEM_DEVELOPMENT</v>
      </c>
      <c r="C3170" s="4">
        <v>377</v>
      </c>
      <c r="D3170" s="3">
        <v>1.0598780999999999</v>
      </c>
      <c r="E3170" s="1">
        <v>0.29554140000000001</v>
      </c>
      <c r="F3170" s="2">
        <v>0.50042319999999996</v>
      </c>
    </row>
    <row r="3171" spans="1:6" x14ac:dyDescent="0.25">
      <c r="A3171" t="s">
        <v>6</v>
      </c>
      <c r="B3171" s="5" t="str">
        <f>HYPERLINK("http://www.broadinstitute.org/gsea/msigdb/cards/GOBP_GLYCEROLIPID_CATABOLIC_PROCESS.html","GOBP_GLYCEROLIPID_CATABOLIC_PROCESS")</f>
        <v>GOBP_GLYCEROLIPID_CATABOLIC_PROCESS</v>
      </c>
      <c r="C3171" s="4">
        <v>66</v>
      </c>
      <c r="D3171" s="3">
        <v>1.0597086</v>
      </c>
      <c r="E3171" s="1">
        <v>0.33438486000000001</v>
      </c>
      <c r="F3171" s="2">
        <v>0.50064439999999999</v>
      </c>
    </row>
    <row r="3172" spans="1:6" x14ac:dyDescent="0.25">
      <c r="A3172" t="s">
        <v>10</v>
      </c>
      <c r="B3172" s="5" t="str">
        <f>HYPERLINK("http://www.broadinstitute.org/gsea/msigdb/cards/REACTOME_DNA_DAMAGE_BYPASS.html","REACTOME_DNA_DAMAGE_BYPASS")</f>
        <v>REACTOME_DNA_DAMAGE_BYPASS</v>
      </c>
      <c r="C3172" s="4">
        <v>47</v>
      </c>
      <c r="D3172" s="3">
        <v>1.059631</v>
      </c>
      <c r="E3172" s="1">
        <v>0.38942306999999998</v>
      </c>
      <c r="F3172" s="2">
        <v>0.50067229999999996</v>
      </c>
    </row>
    <row r="3173" spans="1:6" x14ac:dyDescent="0.25">
      <c r="A3173" t="s">
        <v>6</v>
      </c>
      <c r="B3173" s="5" t="str">
        <f>HYPERLINK("http://www.broadinstitute.org/gsea/msigdb/cards/GOBP_REGULATION_OF_SYNAPSE_STRUCTURE_OR_ACTIVITY.html","GOBP_REGULATION_OF_SYNAPSE_STRUCTURE_OR_ACTIVITY")</f>
        <v>GOBP_REGULATION_OF_SYNAPSE_STRUCTURE_OR_ACTIVITY</v>
      </c>
      <c r="C3173" s="4">
        <v>310</v>
      </c>
      <c r="D3173" s="3">
        <v>1.0592352</v>
      </c>
      <c r="E3173" s="1">
        <v>0.31901040000000003</v>
      </c>
      <c r="F3173" s="2">
        <v>0.50137264000000004</v>
      </c>
    </row>
    <row r="3174" spans="1:6" x14ac:dyDescent="0.25">
      <c r="A3174" t="s">
        <v>6</v>
      </c>
      <c r="B3174" s="5" t="str">
        <f>HYPERLINK("http://www.broadinstitute.org/gsea/msigdb/cards/GOBP_FATTY_ACID_METABOLIC_PROCESS.html","GOBP_FATTY_ACID_METABOLIC_PROCESS")</f>
        <v>GOBP_FATTY_ACID_METABOLIC_PROCESS</v>
      </c>
      <c r="C3174" s="4">
        <v>423</v>
      </c>
      <c r="D3174" s="3">
        <v>1.0576966000000001</v>
      </c>
      <c r="E3174" s="1">
        <v>0.29283886999999997</v>
      </c>
      <c r="F3174" s="2">
        <v>0.50473769999999996</v>
      </c>
    </row>
    <row r="3175" spans="1:6" x14ac:dyDescent="0.25">
      <c r="A3175" t="s">
        <v>6</v>
      </c>
      <c r="B3175" s="5" t="str">
        <f>HYPERLINK("http://www.broadinstitute.org/gsea/msigdb/cards/GOBP_REGULATION_OF_ANOIKIS.html","GOBP_REGULATION_OF_ANOIKIS")</f>
        <v>GOBP_REGULATION_OF_ANOIKIS</v>
      </c>
      <c r="C3175" s="4">
        <v>22</v>
      </c>
      <c r="D3175" s="3">
        <v>1.0568962</v>
      </c>
      <c r="E3175" s="1">
        <v>0.38172921999999998</v>
      </c>
      <c r="F3175" s="2">
        <v>0.50641230000000004</v>
      </c>
    </row>
    <row r="3176" spans="1:6" x14ac:dyDescent="0.25">
      <c r="A3176" t="s">
        <v>7</v>
      </c>
      <c r="B3176" s="5" t="str">
        <f>HYPERLINK("http://www.broadinstitute.org/gsea/msigdb/cards/GOCC_CONNEXIN_COMPLEX.html","GOCC_CONNEXIN_COMPLEX")</f>
        <v>GOCC_CONNEXIN_COMPLEX</v>
      </c>
      <c r="C3176" s="4">
        <v>19</v>
      </c>
      <c r="D3176" s="3">
        <v>1.0567446</v>
      </c>
      <c r="E3176" s="1">
        <v>0.36654803000000002</v>
      </c>
      <c r="F3176" s="2">
        <v>0.50659759999999998</v>
      </c>
    </row>
    <row r="3177" spans="1:6" x14ac:dyDescent="0.25">
      <c r="A3177" t="s">
        <v>6</v>
      </c>
      <c r="B3177" s="5" t="str">
        <f>HYPERLINK("http://www.broadinstitute.org/gsea/msigdb/cards/GOBP_ORGANIC_HYDROXY_COMPOUND_BIOSYNTHETIC_PROCESS.html","GOBP_ORGANIC_HYDROXY_COMPOUND_BIOSYNTHETIC_PROCESS")</f>
        <v>GOBP_ORGANIC_HYDROXY_COMPOUND_BIOSYNTHETIC_PROCESS</v>
      </c>
      <c r="C3177" s="4">
        <v>240</v>
      </c>
      <c r="D3177" s="3">
        <v>1.0564667999999999</v>
      </c>
      <c r="E3177" s="1">
        <v>0.30906593999999998</v>
      </c>
      <c r="F3177" s="2">
        <v>0.50706309999999999</v>
      </c>
    </row>
    <row r="3178" spans="1:6" x14ac:dyDescent="0.25">
      <c r="A3178" t="s">
        <v>6</v>
      </c>
      <c r="B3178" s="5" t="str">
        <f>HYPERLINK("http://www.broadinstitute.org/gsea/msigdb/cards/GOBP_ORGANELLE_INHERITANCE.html","GOBP_ORGANELLE_INHERITANCE")</f>
        <v>GOBP_ORGANELLE_INHERITANCE</v>
      </c>
      <c r="C3178" s="4">
        <v>15</v>
      </c>
      <c r="D3178" s="3">
        <v>1.0564126</v>
      </c>
      <c r="E3178" s="1">
        <v>0.39543060000000002</v>
      </c>
      <c r="F3178" s="2">
        <v>0.5070209</v>
      </c>
    </row>
    <row r="3179" spans="1:6" x14ac:dyDescent="0.25">
      <c r="A3179" t="s">
        <v>11</v>
      </c>
      <c r="B3179" s="5" t="str">
        <f>HYPERLINK("http://www.broadinstitute.org/gsea/msigdb/cards/WP_BDNF_PATHWAY.html","WP_BDNF_PATHWAY")</f>
        <v>WP_BDNF_PATHWAY</v>
      </c>
      <c r="C3179" s="4">
        <v>15</v>
      </c>
      <c r="D3179" s="3">
        <v>1.0560915</v>
      </c>
      <c r="E3179" s="1">
        <v>0.36777583000000003</v>
      </c>
      <c r="F3179" s="2">
        <v>0.50759613999999997</v>
      </c>
    </row>
    <row r="3180" spans="1:6" x14ac:dyDescent="0.25">
      <c r="A3180" t="s">
        <v>6</v>
      </c>
      <c r="B3180" s="5" t="str">
        <f>HYPERLINK("http://www.broadinstitute.org/gsea/msigdb/cards/GOBP_DENDRITE_MORPHOGENESIS.html","GOBP_DENDRITE_MORPHOGENESIS")</f>
        <v>GOBP_DENDRITE_MORPHOGENESIS</v>
      </c>
      <c r="C3180" s="4">
        <v>189</v>
      </c>
      <c r="D3180" s="3">
        <v>1.0556464999999999</v>
      </c>
      <c r="E3180" s="1">
        <v>0.32794118</v>
      </c>
      <c r="F3180" s="2">
        <v>0.50845647000000005</v>
      </c>
    </row>
    <row r="3181" spans="1:6" x14ac:dyDescent="0.25">
      <c r="A3181" t="s">
        <v>6</v>
      </c>
      <c r="B3181" s="5" t="str">
        <f>HYPERLINK("http://www.broadinstitute.org/gsea/msigdb/cards/GOBP_NEGATIVE_REGULATION_OF_ORGANELLE_ORGANIZATION.html","GOBP_NEGATIVE_REGULATION_OF_ORGANELLE_ORGANIZATION")</f>
        <v>GOBP_NEGATIVE_REGULATION_OF_ORGANELLE_ORGANIZATION</v>
      </c>
      <c r="C3181" s="4">
        <v>379</v>
      </c>
      <c r="D3181" s="3">
        <v>1.0555786</v>
      </c>
      <c r="E3181" s="1">
        <v>0.29820052000000002</v>
      </c>
      <c r="F3181" s="2">
        <v>0.50844409999999995</v>
      </c>
    </row>
    <row r="3182" spans="1:6" x14ac:dyDescent="0.25">
      <c r="A3182" t="s">
        <v>6</v>
      </c>
      <c r="B3182" s="5" t="str">
        <f>HYPERLINK("http://www.broadinstitute.org/gsea/msigdb/cards/GOBP_POSITIVE_REGULATION_OF_INSULIN_SECRETION.html","GOBP_POSITIVE_REGULATION_OF_INSULIN_SECRETION")</f>
        <v>GOBP_POSITIVE_REGULATION_OF_INSULIN_SECRETION</v>
      </c>
      <c r="C3182" s="4">
        <v>107</v>
      </c>
      <c r="D3182" s="3">
        <v>1.0554429999999999</v>
      </c>
      <c r="E3182" s="1">
        <v>0.33536586000000002</v>
      </c>
      <c r="F3182" s="2">
        <v>0.50857779999999997</v>
      </c>
    </row>
    <row r="3183" spans="1:6" x14ac:dyDescent="0.25">
      <c r="A3183" t="s">
        <v>6</v>
      </c>
      <c r="B3183" s="5" t="str">
        <f>HYPERLINK("http://www.broadinstitute.org/gsea/msigdb/cards/GOBP_REGULATION_OF_CALCIUM_ION_IMPORT_ACROSS_PLASMA_MEMBRANE.html","GOBP_REGULATION_OF_CALCIUM_ION_IMPORT_ACROSS_PLASMA_MEMBRANE")</f>
        <v>GOBP_REGULATION_OF_CALCIUM_ION_IMPORT_ACROSS_PLASMA_MEMBRANE</v>
      </c>
      <c r="C3183" s="4">
        <v>18</v>
      </c>
      <c r="D3183" s="3">
        <v>1.05525</v>
      </c>
      <c r="E3183" s="1">
        <v>0.38035714999999998</v>
      </c>
      <c r="F3183" s="2">
        <v>0.50886165999999999</v>
      </c>
    </row>
    <row r="3184" spans="1:6" x14ac:dyDescent="0.25">
      <c r="A3184" t="s">
        <v>6</v>
      </c>
      <c r="B3184" s="5" t="str">
        <f>HYPERLINK("http://www.broadinstitute.org/gsea/msigdb/cards/GOBP_POSITIVE_REGULATION_OF_DNA_TEMPLATED_TRANSCRIPTION_INITIATION.html","GOBP_POSITIVE_REGULATION_OF_DNA_TEMPLATED_TRANSCRIPTION_INITIATION")</f>
        <v>GOBP_POSITIVE_REGULATION_OF_DNA_TEMPLATED_TRANSCRIPTION_INITIATION</v>
      </c>
      <c r="C3184" s="4">
        <v>72</v>
      </c>
      <c r="D3184" s="3">
        <v>1.0552037000000001</v>
      </c>
      <c r="E3184" s="1">
        <v>0.34321373999999999</v>
      </c>
      <c r="F3184" s="2">
        <v>0.50881100000000001</v>
      </c>
    </row>
    <row r="3185" spans="1:6" x14ac:dyDescent="0.25">
      <c r="A3185" t="s">
        <v>6</v>
      </c>
      <c r="B3185" s="5" t="str">
        <f>HYPERLINK("http://www.broadinstitute.org/gsea/msigdb/cards/GOBP_PURINE_NUCLEOSIDE_METABOLIC_PROCESS.html","GOBP_PURINE_NUCLEOSIDE_METABOLIC_PROCESS")</f>
        <v>GOBP_PURINE_NUCLEOSIDE_METABOLIC_PROCESS</v>
      </c>
      <c r="C3185" s="4">
        <v>33</v>
      </c>
      <c r="D3185" s="3">
        <v>1.0551482000000001</v>
      </c>
      <c r="E3185" s="1">
        <v>0.36052202999999999</v>
      </c>
      <c r="F3185" s="2">
        <v>0.50878239999999997</v>
      </c>
    </row>
    <row r="3186" spans="1:6" x14ac:dyDescent="0.25">
      <c r="A3186" t="s">
        <v>6</v>
      </c>
      <c r="B3186" s="5" t="str">
        <f>HYPERLINK("http://www.broadinstitute.org/gsea/msigdb/cards/GOBP_GLIAL_CELL_DIFFERENTIATION.html","GOBP_GLIAL_CELL_DIFFERENTIATION")</f>
        <v>GOBP_GLIAL_CELL_DIFFERENTIATION</v>
      </c>
      <c r="C3186" s="4">
        <v>283</v>
      </c>
      <c r="D3186" s="3">
        <v>1.0549579</v>
      </c>
      <c r="E3186" s="1">
        <v>0.31459169999999997</v>
      </c>
      <c r="F3186" s="2">
        <v>0.50905739999999999</v>
      </c>
    </row>
    <row r="3187" spans="1:6" x14ac:dyDescent="0.25">
      <c r="A3187" t="s">
        <v>6</v>
      </c>
      <c r="B3187" s="5" t="str">
        <f>HYPERLINK("http://www.broadinstitute.org/gsea/msigdb/cards/GOBP_POSITIVE_THYMIC_T_CELL_SELECTION.html","GOBP_POSITIVE_THYMIC_T_CELL_SELECTION")</f>
        <v>GOBP_POSITIVE_THYMIC_T_CELL_SELECTION</v>
      </c>
      <c r="C3187" s="4">
        <v>17</v>
      </c>
      <c r="D3187" s="3">
        <v>1.0543993</v>
      </c>
      <c r="E3187" s="1">
        <v>0.38949275</v>
      </c>
      <c r="F3187" s="2">
        <v>0.51020279999999996</v>
      </c>
    </row>
    <row r="3188" spans="1:6" x14ac:dyDescent="0.25">
      <c r="A3188" t="s">
        <v>6</v>
      </c>
      <c r="B3188" s="5" t="str">
        <f>HYPERLINK("http://www.broadinstitute.org/gsea/msigdb/cards/GOBP_REGULATION_OF_CYCLIN_DEPENDENT_PROTEIN_KINASE_ACTIVITY.html","GOBP_REGULATION_OF_CYCLIN_DEPENDENT_PROTEIN_KINASE_ACTIVITY")</f>
        <v>GOBP_REGULATION_OF_CYCLIN_DEPENDENT_PROTEIN_KINASE_ACTIVITY</v>
      </c>
      <c r="C3188" s="4">
        <v>72</v>
      </c>
      <c r="D3188" s="3">
        <v>1.0540657</v>
      </c>
      <c r="E3188" s="1">
        <v>0.35930045999999999</v>
      </c>
      <c r="F3188" s="2">
        <v>0.51080519999999996</v>
      </c>
    </row>
    <row r="3189" spans="1:6" x14ac:dyDescent="0.25">
      <c r="A3189" t="s">
        <v>6</v>
      </c>
      <c r="B3189" s="5" t="str">
        <f>HYPERLINK("http://www.broadinstitute.org/gsea/msigdb/cards/GOBP_POSITIVE_REGULATION_OF_TRANSLATIONAL_INITIATION.html","GOBP_POSITIVE_REGULATION_OF_TRANSLATIONAL_INITIATION")</f>
        <v>GOBP_POSITIVE_REGULATION_OF_TRANSLATIONAL_INITIATION</v>
      </c>
      <c r="C3189" s="4">
        <v>23</v>
      </c>
      <c r="D3189" s="3">
        <v>1.0539362000000001</v>
      </c>
      <c r="E3189" s="1">
        <v>0.38693466999999998</v>
      </c>
      <c r="F3189" s="2">
        <v>0.51093029999999995</v>
      </c>
    </row>
    <row r="3190" spans="1:6" x14ac:dyDescent="0.25">
      <c r="A3190" t="s">
        <v>10</v>
      </c>
      <c r="B3190" s="5" t="str">
        <f>HYPERLINK("http://www.broadinstitute.org/gsea/msigdb/cards/REACTOME_PLASMA_LIPOPROTEIN_REMODELING.html","REACTOME_PLASMA_LIPOPROTEIN_REMODELING")</f>
        <v>REACTOME_PLASMA_LIPOPROTEIN_REMODELING</v>
      </c>
      <c r="C3190" s="4">
        <v>26</v>
      </c>
      <c r="D3190" s="3">
        <v>1.0535907</v>
      </c>
      <c r="E3190" s="1">
        <v>0.38277513000000002</v>
      </c>
      <c r="F3190" s="2">
        <v>0.51157269999999999</v>
      </c>
    </row>
    <row r="3191" spans="1:6" x14ac:dyDescent="0.25">
      <c r="A3191" t="s">
        <v>8</v>
      </c>
      <c r="B3191" s="5" t="str">
        <f>HYPERLINK("http://www.broadinstitute.org/gsea/msigdb/cards/GOMF_NUCLEOTIDYLTRANSFERASE_ACTIVITY.html","GOMF_NUCLEOTIDYLTRANSFERASE_ACTIVITY")</f>
        <v>GOMF_NUCLEOTIDYLTRANSFERASE_ACTIVITY</v>
      </c>
      <c r="C3191" s="4">
        <v>138</v>
      </c>
      <c r="D3191" s="3">
        <v>1.0534673999999999</v>
      </c>
      <c r="E3191" s="1">
        <v>0.35507246999999997</v>
      </c>
      <c r="F3191" s="2">
        <v>0.51168959999999997</v>
      </c>
    </row>
    <row r="3192" spans="1:6" x14ac:dyDescent="0.25">
      <c r="A3192" t="s">
        <v>6</v>
      </c>
      <c r="B3192" s="5" t="str">
        <f>HYPERLINK("http://www.broadinstitute.org/gsea/msigdb/cards/GOBP_CORTICOSTEROID_RECEPTOR_SIGNALING_PATHWAY.html","GOBP_CORTICOSTEROID_RECEPTOR_SIGNALING_PATHWAY")</f>
        <v>GOBP_CORTICOSTEROID_RECEPTOR_SIGNALING_PATHWAY</v>
      </c>
      <c r="C3192" s="4">
        <v>17</v>
      </c>
      <c r="D3192" s="3">
        <v>1.0534144999999999</v>
      </c>
      <c r="E3192" s="1">
        <v>0.36624773999999999</v>
      </c>
      <c r="F3192" s="2">
        <v>0.51165484999999999</v>
      </c>
    </row>
    <row r="3193" spans="1:6" x14ac:dyDescent="0.25">
      <c r="A3193" t="s">
        <v>6</v>
      </c>
      <c r="B3193" s="5" t="str">
        <f>HYPERLINK("http://www.broadinstitute.org/gsea/msigdb/cards/GOBP_FOLIC_ACID_CONTAINING_COMPOUND_METABOLIC_PROCESS.html","GOBP_FOLIC_ACID_CONTAINING_COMPOUND_METABOLIC_PROCESS")</f>
        <v>GOBP_FOLIC_ACID_CONTAINING_COMPOUND_METABOLIC_PROCESS</v>
      </c>
      <c r="C3193" s="4">
        <v>25</v>
      </c>
      <c r="D3193" s="3">
        <v>1.0525665</v>
      </c>
      <c r="E3193" s="1">
        <v>0.36301368000000001</v>
      </c>
      <c r="F3193" s="2">
        <v>0.51342964000000002</v>
      </c>
    </row>
    <row r="3194" spans="1:6" x14ac:dyDescent="0.25">
      <c r="A3194" t="s">
        <v>8</v>
      </c>
      <c r="B3194" s="5" t="str">
        <f>HYPERLINK("http://www.broadinstitute.org/gsea/msigdb/cards/GOMF_COPPER_ION_BINDING.html","GOMF_COPPER_ION_BINDING")</f>
        <v>GOMF_COPPER_ION_BINDING</v>
      </c>
      <c r="C3194" s="4">
        <v>61</v>
      </c>
      <c r="D3194" s="3">
        <v>1.0523593</v>
      </c>
      <c r="E3194" s="1">
        <v>0.35849056000000001</v>
      </c>
      <c r="F3194" s="2">
        <v>0.51372949999999995</v>
      </c>
    </row>
    <row r="3195" spans="1:6" x14ac:dyDescent="0.25">
      <c r="A3195" t="s">
        <v>6</v>
      </c>
      <c r="B3195" s="5" t="str">
        <f>HYPERLINK("http://www.broadinstitute.org/gsea/msigdb/cards/GOBP_PERIPHERAL_NERVOUS_SYSTEM_DEVELOPMENT.html","GOBP_PERIPHERAL_NERVOUS_SYSTEM_DEVELOPMENT")</f>
        <v>GOBP_PERIPHERAL_NERVOUS_SYSTEM_DEVELOPMENT</v>
      </c>
      <c r="C3195" s="4">
        <v>83</v>
      </c>
      <c r="D3195" s="3">
        <v>1.0519063</v>
      </c>
      <c r="E3195" s="1">
        <v>0.35267857000000002</v>
      </c>
      <c r="F3195" s="2">
        <v>0.51460039999999996</v>
      </c>
    </row>
    <row r="3196" spans="1:6" x14ac:dyDescent="0.25">
      <c r="A3196" t="s">
        <v>8</v>
      </c>
      <c r="B3196" s="5" t="str">
        <f>HYPERLINK("http://www.broadinstitute.org/gsea/msigdb/cards/GOMF_TAU_PROTEIN_BINDING.html","GOMF_TAU_PROTEIN_BINDING")</f>
        <v>GOMF_TAU_PROTEIN_BINDING</v>
      </c>
      <c r="C3196" s="4">
        <v>22</v>
      </c>
      <c r="D3196" s="3">
        <v>1.0516127</v>
      </c>
      <c r="E3196" s="1">
        <v>0.40436240000000001</v>
      </c>
      <c r="F3196" s="2">
        <v>0.51510613999999999</v>
      </c>
    </row>
    <row r="3197" spans="1:6" x14ac:dyDescent="0.25">
      <c r="A3197" t="s">
        <v>8</v>
      </c>
      <c r="B3197" s="5" t="str">
        <f>HYPERLINK("http://www.broadinstitute.org/gsea/msigdb/cards/GOMF_PROTEIN_TYROSINE_PHOSPHATASE_ACTIVITY.html","GOMF_PROTEIN_TYROSINE_PHOSPHATASE_ACTIVITY")</f>
        <v>GOMF_PROTEIN_TYROSINE_PHOSPHATASE_ACTIVITY</v>
      </c>
      <c r="C3197" s="4">
        <v>91</v>
      </c>
      <c r="D3197" s="3">
        <v>1.0516068999999999</v>
      </c>
      <c r="E3197" s="1">
        <v>0.34198472000000002</v>
      </c>
      <c r="F3197" s="2">
        <v>0.51495829999999998</v>
      </c>
    </row>
    <row r="3198" spans="1:6" x14ac:dyDescent="0.25">
      <c r="A3198" t="s">
        <v>6</v>
      </c>
      <c r="B3198" s="5" t="str">
        <f>HYPERLINK("http://www.broadinstitute.org/gsea/msigdb/cards/GOBP_RESPONSE_TO_VITAMIN_D.html","GOBP_RESPONSE_TO_VITAMIN_D")</f>
        <v>GOBP_RESPONSE_TO_VITAMIN_D</v>
      </c>
      <c r="C3198" s="4">
        <v>16</v>
      </c>
      <c r="D3198" s="3">
        <v>1.0510824999999999</v>
      </c>
      <c r="E3198" s="1">
        <v>0.38127092000000001</v>
      </c>
      <c r="F3198" s="2">
        <v>0.51602345999999999</v>
      </c>
    </row>
    <row r="3199" spans="1:6" x14ac:dyDescent="0.25">
      <c r="A3199" t="s">
        <v>6</v>
      </c>
      <c r="B3199" s="5" t="str">
        <f>HYPERLINK("http://www.broadinstitute.org/gsea/msigdb/cards/GOBP_PLASMA_MEMBRANE_REPAIR.html","GOBP_PLASMA_MEMBRANE_REPAIR")</f>
        <v>GOBP_PLASMA_MEMBRANE_REPAIR</v>
      </c>
      <c r="C3199" s="4">
        <v>30</v>
      </c>
      <c r="D3199" s="3">
        <v>1.0509313</v>
      </c>
      <c r="E3199" s="1">
        <v>0.3952</v>
      </c>
      <c r="F3199" s="2">
        <v>0.51620834999999998</v>
      </c>
    </row>
    <row r="3200" spans="1:6" x14ac:dyDescent="0.25">
      <c r="A3200" t="s">
        <v>6</v>
      </c>
      <c r="B3200" s="5" t="str">
        <f>HYPERLINK("http://www.broadinstitute.org/gsea/msigdb/cards/GOBP_GONADOTROPIN_SECRETION.html","GOBP_GONADOTROPIN_SECRETION")</f>
        <v>GOBP_GONADOTROPIN_SECRETION</v>
      </c>
      <c r="C3200" s="4">
        <v>15</v>
      </c>
      <c r="D3200" s="3">
        <v>1.0508561000000001</v>
      </c>
      <c r="E3200" s="1">
        <v>0.39661016999999998</v>
      </c>
      <c r="F3200" s="2">
        <v>0.51622120000000005</v>
      </c>
    </row>
    <row r="3201" spans="1:6" x14ac:dyDescent="0.25">
      <c r="A3201" t="s">
        <v>6</v>
      </c>
      <c r="B3201" s="5" t="str">
        <f>HYPERLINK("http://www.broadinstitute.org/gsea/msigdb/cards/GOBP_EMBRYONIC_HEART_TUBE_MORPHOGENESIS.html","GOBP_EMBRYONIC_HEART_TUBE_MORPHOGENESIS")</f>
        <v>GOBP_EMBRYONIC_HEART_TUBE_MORPHOGENESIS</v>
      </c>
      <c r="C3201" s="4">
        <v>68</v>
      </c>
      <c r="D3201" s="3">
        <v>1.0505519000000001</v>
      </c>
      <c r="E3201" s="1">
        <v>0.35007850000000001</v>
      </c>
      <c r="F3201" s="2">
        <v>0.51676655000000005</v>
      </c>
    </row>
    <row r="3202" spans="1:6" x14ac:dyDescent="0.25">
      <c r="A3202" t="s">
        <v>6</v>
      </c>
      <c r="B3202" s="5" t="str">
        <f>HYPERLINK("http://www.broadinstitute.org/gsea/msigdb/cards/GOBP_POSITIVE_REGULATION_OF_PROTEIN_MATURATION.html","GOBP_POSITIVE_REGULATION_OF_PROTEIN_MATURATION")</f>
        <v>GOBP_POSITIVE_REGULATION_OF_PROTEIN_MATURATION</v>
      </c>
      <c r="C3202" s="4">
        <v>28</v>
      </c>
      <c r="D3202" s="3">
        <v>1.0500208</v>
      </c>
      <c r="E3202" s="1">
        <v>0.40202704</v>
      </c>
      <c r="F3202" s="2">
        <v>0.51785870000000001</v>
      </c>
    </row>
    <row r="3203" spans="1:6" x14ac:dyDescent="0.25">
      <c r="A3203" t="s">
        <v>6</v>
      </c>
      <c r="B3203" s="5" t="str">
        <f>HYPERLINK("http://www.broadinstitute.org/gsea/msigdb/cards/GOBP_INTESTINAL_EPITHELIAL_CELL_DIFFERENTIATION.html","GOBP_INTESTINAL_EPITHELIAL_CELL_DIFFERENTIATION")</f>
        <v>GOBP_INTESTINAL_EPITHELIAL_CELL_DIFFERENTIATION</v>
      </c>
      <c r="C3203" s="4">
        <v>26</v>
      </c>
      <c r="D3203" s="3">
        <v>1.0499548000000001</v>
      </c>
      <c r="E3203" s="1">
        <v>0.39358110000000002</v>
      </c>
      <c r="F3203" s="2">
        <v>0.51784616999999999</v>
      </c>
    </row>
    <row r="3204" spans="1:6" x14ac:dyDescent="0.25">
      <c r="A3204" t="s">
        <v>11</v>
      </c>
      <c r="B3204" s="5" t="str">
        <f>HYPERLINK("http://www.broadinstitute.org/gsea/msigdb/cards/WP_DELTA_NOTCH_SIGNALING_PATHWAY.html","WP_DELTA_NOTCH_SIGNALING_PATHWAY")</f>
        <v>WP_DELTA_NOTCH_SIGNALING_PATHWAY</v>
      </c>
      <c r="C3204" s="4">
        <v>81</v>
      </c>
      <c r="D3204" s="3">
        <v>1.0499254</v>
      </c>
      <c r="E3204" s="1">
        <v>0.35736677</v>
      </c>
      <c r="F3204" s="2">
        <v>0.51775884999999999</v>
      </c>
    </row>
    <row r="3205" spans="1:6" x14ac:dyDescent="0.25">
      <c r="A3205" t="s">
        <v>6</v>
      </c>
      <c r="B3205" s="5" t="str">
        <f>HYPERLINK("http://www.broadinstitute.org/gsea/msigdb/cards/GOBP_DEVELOPMENTAL_MATURATION.html","GOBP_DEVELOPMENTAL_MATURATION")</f>
        <v>GOBP_DEVELOPMENTAL_MATURATION</v>
      </c>
      <c r="C3205" s="4">
        <v>364</v>
      </c>
      <c r="D3205" s="3">
        <v>1.0498301999999999</v>
      </c>
      <c r="E3205" s="1">
        <v>0.32573727000000002</v>
      </c>
      <c r="F3205" s="2">
        <v>0.51781200000000005</v>
      </c>
    </row>
    <row r="3206" spans="1:6" x14ac:dyDescent="0.25">
      <c r="A3206" t="s">
        <v>6</v>
      </c>
      <c r="B3206" s="5" t="str">
        <f>HYPERLINK("http://www.broadinstitute.org/gsea/msigdb/cards/GOBP_POSITIVE_REGULATION_OF_WNT_SIGNALING_PATHWAY.html","GOBP_POSITIVE_REGULATION_OF_WNT_SIGNALING_PATHWAY")</f>
        <v>GOBP_POSITIVE_REGULATION_OF_WNT_SIGNALING_PATHWAY</v>
      </c>
      <c r="C3206" s="4">
        <v>142</v>
      </c>
      <c r="D3206" s="3">
        <v>1.0496386</v>
      </c>
      <c r="E3206" s="1">
        <v>0.34576760000000001</v>
      </c>
      <c r="F3206" s="2">
        <v>0.51808136999999999</v>
      </c>
    </row>
    <row r="3207" spans="1:6" x14ac:dyDescent="0.25">
      <c r="A3207" t="s">
        <v>10</v>
      </c>
      <c r="B3207" s="5" t="str">
        <f>HYPERLINK("http://www.broadinstitute.org/gsea/msigdb/cards/REACTOME_ANTIVIRAL_MECHANISM_BY_IFN_STIMULATED_GENES.html","REACTOME_ANTIVIRAL_MECHANISM_BY_IFN_STIMULATED_GENES")</f>
        <v>REACTOME_ANTIVIRAL_MECHANISM_BY_IFN_STIMULATED_GENES</v>
      </c>
      <c r="C3207" s="4">
        <v>92</v>
      </c>
      <c r="D3207" s="3">
        <v>1.0493636</v>
      </c>
      <c r="E3207" s="1">
        <v>0.35337242000000002</v>
      </c>
      <c r="F3207" s="2">
        <v>0.5185438</v>
      </c>
    </row>
    <row r="3208" spans="1:6" x14ac:dyDescent="0.25">
      <c r="A3208" t="s">
        <v>6</v>
      </c>
      <c r="B3208" s="5" t="str">
        <f>HYPERLINK("http://www.broadinstitute.org/gsea/msigdb/cards/GOBP_NUCLEAR_PORE_ORGANIZATION.html","GOBP_NUCLEAR_PORE_ORGANIZATION")</f>
        <v>GOBP_NUCLEAR_PORE_ORGANIZATION</v>
      </c>
      <c r="C3208" s="4">
        <v>15</v>
      </c>
      <c r="D3208" s="3">
        <v>1.049334</v>
      </c>
      <c r="E3208" s="1">
        <v>0.39633026999999998</v>
      </c>
      <c r="F3208" s="2">
        <v>0.51844880000000004</v>
      </c>
    </row>
    <row r="3209" spans="1:6" x14ac:dyDescent="0.25">
      <c r="A3209" t="s">
        <v>6</v>
      </c>
      <c r="B3209" s="5" t="str">
        <f>HYPERLINK("http://www.broadinstitute.org/gsea/msigdb/cards/GOBP_NEUROTROPHIN_SIGNALING_PATHWAY.html","GOBP_NEUROTROPHIN_SIGNALING_PATHWAY")</f>
        <v>GOBP_NEUROTROPHIN_SIGNALING_PATHWAY</v>
      </c>
      <c r="C3209" s="4">
        <v>42</v>
      </c>
      <c r="D3209" s="3">
        <v>1.0493237</v>
      </c>
      <c r="E3209" s="1">
        <v>0.384127</v>
      </c>
      <c r="F3209" s="2">
        <v>0.51830876000000004</v>
      </c>
    </row>
    <row r="3210" spans="1:6" x14ac:dyDescent="0.25">
      <c r="A3210" t="s">
        <v>8</v>
      </c>
      <c r="B3210" s="5" t="str">
        <f>HYPERLINK("http://www.broadinstitute.org/gsea/msigdb/cards/GOMF_HYDROLASE_ACTIVITY_HYDROLYZING_N_GLYCOSYL_COMPOUNDS.html","GOMF_HYDROLASE_ACTIVITY_HYDROLYZING_N_GLYCOSYL_COMPOUNDS")</f>
        <v>GOMF_HYDROLASE_ACTIVITY_HYDROLYZING_N_GLYCOSYL_COMPOUNDS</v>
      </c>
      <c r="C3210" s="4">
        <v>34</v>
      </c>
      <c r="D3210" s="3">
        <v>1.0487396</v>
      </c>
      <c r="E3210" s="1">
        <v>0.37949640000000001</v>
      </c>
      <c r="F3210" s="2">
        <v>0.51950410000000002</v>
      </c>
    </row>
    <row r="3211" spans="1:6" x14ac:dyDescent="0.25">
      <c r="A3211" t="s">
        <v>6</v>
      </c>
      <c r="B3211" s="5" t="str">
        <f>HYPERLINK("http://www.broadinstitute.org/gsea/msigdb/cards/GOBP_ORGANIC_CYCLIC_COMPOUND_CATABOLIC_PROCESS.html","GOBP_ORGANIC_CYCLIC_COMPOUND_CATABOLIC_PROCESS")</f>
        <v>GOBP_ORGANIC_CYCLIC_COMPOUND_CATABOLIC_PROCESS</v>
      </c>
      <c r="C3211" s="4">
        <v>468</v>
      </c>
      <c r="D3211" s="3">
        <v>1.0487344000000001</v>
      </c>
      <c r="E3211" s="1">
        <v>0.29565217999999999</v>
      </c>
      <c r="F3211" s="2">
        <v>0.51935505999999998</v>
      </c>
    </row>
    <row r="3212" spans="1:6" x14ac:dyDescent="0.25">
      <c r="A3212" t="s">
        <v>10</v>
      </c>
      <c r="B3212" s="5" t="str">
        <f>HYPERLINK("http://www.broadinstitute.org/gsea/msigdb/cards/REACTOME_AMINE_LIGAND_BINDING_RECEPTORS.html","REACTOME_AMINE_LIGAND_BINDING_RECEPTORS")</f>
        <v>REACTOME_AMINE_LIGAND_BINDING_RECEPTORS</v>
      </c>
      <c r="C3212" s="4">
        <v>38</v>
      </c>
      <c r="D3212" s="3">
        <v>1.0484564000000001</v>
      </c>
      <c r="E3212" s="1">
        <v>0.35922330000000002</v>
      </c>
      <c r="F3212" s="2">
        <v>0.51985329999999996</v>
      </c>
    </row>
    <row r="3213" spans="1:6" x14ac:dyDescent="0.25">
      <c r="A3213" t="s">
        <v>7</v>
      </c>
      <c r="B3213" s="5" t="str">
        <f>HYPERLINK("http://www.broadinstitute.org/gsea/msigdb/cards/GOCC_CATENIN_COMPLEX.html","GOCC_CATENIN_COMPLEX")</f>
        <v>GOCC_CATENIN_COMPLEX</v>
      </c>
      <c r="C3213" s="4">
        <v>32</v>
      </c>
      <c r="D3213" s="3">
        <v>1.0483804000000001</v>
      </c>
      <c r="E3213" s="1">
        <v>0.39020270000000001</v>
      </c>
      <c r="F3213" s="2">
        <v>0.51986889999999997</v>
      </c>
    </row>
    <row r="3214" spans="1:6" x14ac:dyDescent="0.25">
      <c r="A3214" t="s">
        <v>9</v>
      </c>
      <c r="B3214" s="5" t="str">
        <f>HYPERLINK("http://www.broadinstitute.org/gsea/msigdb/cards/HALLMARK_CHOLESTEROL_HOMEOSTASIS.html","HALLMARK_CHOLESTEROL_HOMEOSTASIS")</f>
        <v>HALLMARK_CHOLESTEROL_HOMEOSTASIS</v>
      </c>
      <c r="C3214" s="4">
        <v>71</v>
      </c>
      <c r="D3214" s="3">
        <v>1.0482716999999999</v>
      </c>
      <c r="E3214" s="1">
        <v>0.36170210000000003</v>
      </c>
      <c r="F3214" s="2">
        <v>0.51995057</v>
      </c>
    </row>
    <row r="3215" spans="1:6" x14ac:dyDescent="0.25">
      <c r="A3215" t="s">
        <v>6</v>
      </c>
      <c r="B3215" s="5" t="str">
        <f>HYPERLINK("http://www.broadinstitute.org/gsea/msigdb/cards/GOBP_NEGATIVE_REGULATION_OF_MONOATOMIC_ION_TRANSMEMBRANE_TRANSPORT.html","GOBP_NEGATIVE_REGULATION_OF_MONOATOMIC_ION_TRANSMEMBRANE_TRANSPORT")</f>
        <v>GOBP_NEGATIVE_REGULATION_OF_MONOATOMIC_ION_TRANSMEMBRANE_TRANSPORT</v>
      </c>
      <c r="C3215" s="4">
        <v>111</v>
      </c>
      <c r="D3215" s="3">
        <v>1.0482568999999999</v>
      </c>
      <c r="E3215" s="1">
        <v>0.35095447000000002</v>
      </c>
      <c r="F3215" s="2">
        <v>0.51982147000000001</v>
      </c>
    </row>
    <row r="3216" spans="1:6" x14ac:dyDescent="0.25">
      <c r="A3216" t="s">
        <v>6</v>
      </c>
      <c r="B3216" s="5" t="str">
        <f>HYPERLINK("http://www.broadinstitute.org/gsea/msigdb/cards/GOBP_ALCOHOL_BIOSYNTHETIC_PROCESS.html","GOBP_ALCOHOL_BIOSYNTHETIC_PROCESS")</f>
        <v>GOBP_ALCOHOL_BIOSYNTHETIC_PROCESS</v>
      </c>
      <c r="C3216" s="4">
        <v>139</v>
      </c>
      <c r="D3216" s="3">
        <v>1.0482233000000001</v>
      </c>
      <c r="E3216" s="1">
        <v>0.34110787999999997</v>
      </c>
      <c r="F3216" s="2">
        <v>0.51973469999999999</v>
      </c>
    </row>
    <row r="3217" spans="1:6" x14ac:dyDescent="0.25">
      <c r="A3217" t="s">
        <v>6</v>
      </c>
      <c r="B3217" s="5" t="str">
        <f>HYPERLINK("http://www.broadinstitute.org/gsea/msigdb/cards/GOBP_TRIGLYCERIDE_METABOLIC_PROCESS.html","GOBP_TRIGLYCERIDE_METABOLIC_PROCESS")</f>
        <v>GOBP_TRIGLYCERIDE_METABOLIC_PROCESS</v>
      </c>
      <c r="C3217" s="4">
        <v>112</v>
      </c>
      <c r="D3217" s="3">
        <v>1.0480267999999999</v>
      </c>
      <c r="E3217" s="1">
        <v>0.35319766000000002</v>
      </c>
      <c r="F3217" s="2">
        <v>0.52002627000000001</v>
      </c>
    </row>
    <row r="3218" spans="1:6" x14ac:dyDescent="0.25">
      <c r="A3218" t="s">
        <v>6</v>
      </c>
      <c r="B3218" s="5" t="str">
        <f>HYPERLINK("http://www.broadinstitute.org/gsea/msigdb/cards/GOBP_RESPONSE_TO_CHOLESTEROL.html","GOBP_RESPONSE_TO_CHOLESTEROL")</f>
        <v>GOBP_RESPONSE_TO_CHOLESTEROL</v>
      </c>
      <c r="C3218" s="4">
        <v>27</v>
      </c>
      <c r="D3218" s="3">
        <v>1.0478670999999999</v>
      </c>
      <c r="E3218" s="1">
        <v>0.38747885999999998</v>
      </c>
      <c r="F3218" s="2">
        <v>0.52023273999999997</v>
      </c>
    </row>
    <row r="3219" spans="1:6" x14ac:dyDescent="0.25">
      <c r="A3219" t="s">
        <v>6</v>
      </c>
      <c r="B3219" s="5" t="str">
        <f>HYPERLINK("http://www.broadinstitute.org/gsea/msigdb/cards/GOBP_ACTIVIN_RECEPTOR_SIGNALING_PATHWAY.html","GOBP_ACTIVIN_RECEPTOR_SIGNALING_PATHWAY")</f>
        <v>GOBP_ACTIVIN_RECEPTOR_SIGNALING_PATHWAY</v>
      </c>
      <c r="C3219" s="4">
        <v>42</v>
      </c>
      <c r="D3219" s="3">
        <v>1.0475998</v>
      </c>
      <c r="E3219" s="1">
        <v>0.39291735999999999</v>
      </c>
      <c r="F3219" s="2">
        <v>0.5206596</v>
      </c>
    </row>
    <row r="3220" spans="1:6" x14ac:dyDescent="0.25">
      <c r="A3220" t="s">
        <v>6</v>
      </c>
      <c r="B3220" s="5" t="str">
        <f>HYPERLINK("http://www.broadinstitute.org/gsea/msigdb/cards/GOBP_EYELID_DEVELOPMENT_IN_CAMERA_TYPE_EYE.html","GOBP_EYELID_DEVELOPMENT_IN_CAMERA_TYPE_EYE")</f>
        <v>GOBP_EYELID_DEVELOPMENT_IN_CAMERA_TYPE_EYE</v>
      </c>
      <c r="C3220" s="4">
        <v>16</v>
      </c>
      <c r="D3220" s="3">
        <v>1.0473459000000001</v>
      </c>
      <c r="E3220" s="1">
        <v>0.40955629999999998</v>
      </c>
      <c r="F3220" s="2">
        <v>0.52109830000000001</v>
      </c>
    </row>
    <row r="3221" spans="1:6" x14ac:dyDescent="0.25">
      <c r="A3221" t="s">
        <v>6</v>
      </c>
      <c r="B3221" s="5" t="str">
        <f>HYPERLINK("http://www.broadinstitute.org/gsea/msigdb/cards/GOBP_POSITIVE_REGULATION_OF_ACTIN_FILAMENT_BUNDLE_ASSEMBLY.html","GOBP_POSITIVE_REGULATION_OF_ACTIN_FILAMENT_BUNDLE_ASSEMBLY")</f>
        <v>GOBP_POSITIVE_REGULATION_OF_ACTIN_FILAMENT_BUNDLE_ASSEMBLY</v>
      </c>
      <c r="C3221" s="4">
        <v>67</v>
      </c>
      <c r="D3221" s="3">
        <v>1.0470809999999999</v>
      </c>
      <c r="E3221" s="1">
        <v>0.35771066000000001</v>
      </c>
      <c r="F3221" s="2">
        <v>0.52154535000000002</v>
      </c>
    </row>
    <row r="3222" spans="1:6" x14ac:dyDescent="0.25">
      <c r="A3222" t="s">
        <v>9</v>
      </c>
      <c r="B3222" s="5" t="str">
        <f>HYPERLINK("http://www.broadinstitute.org/gsea/msigdb/cards/HALLMARK_HEME_METABOLISM.html","HALLMARK_HEME_METABOLISM")</f>
        <v>HALLMARK_HEME_METABOLISM</v>
      </c>
      <c r="C3222" s="4">
        <v>186</v>
      </c>
      <c r="D3222" s="3">
        <v>1.0468383000000001</v>
      </c>
      <c r="E3222" s="1">
        <v>0.36743515999999998</v>
      </c>
      <c r="F3222" s="2">
        <v>0.52191823999999998</v>
      </c>
    </row>
    <row r="3223" spans="1:6" x14ac:dyDescent="0.25">
      <c r="A3223" t="s">
        <v>6</v>
      </c>
      <c r="B3223" s="5" t="str">
        <f>HYPERLINK("http://www.broadinstitute.org/gsea/msigdb/cards/GOBP_POSITIVE_REGULATION_OF_DIGESTIVE_SYSTEM_PROCESS.html","GOBP_POSITIVE_REGULATION_OF_DIGESTIVE_SYSTEM_PROCESS")</f>
        <v>GOBP_POSITIVE_REGULATION_OF_DIGESTIVE_SYSTEM_PROCESS</v>
      </c>
      <c r="C3223" s="4">
        <v>16</v>
      </c>
      <c r="D3223" s="3">
        <v>1.0466466000000001</v>
      </c>
      <c r="E3223" s="1">
        <v>0.39622639999999998</v>
      </c>
      <c r="F3223" s="2">
        <v>0.52220314999999995</v>
      </c>
    </row>
    <row r="3224" spans="1:6" x14ac:dyDescent="0.25">
      <c r="A3224" t="s">
        <v>6</v>
      </c>
      <c r="B3224" s="5" t="str">
        <f>HYPERLINK("http://www.broadinstitute.org/gsea/msigdb/cards/GOBP_VENTRICULAR_CARDIAC_MUSCLE_TISSUE_DEVELOPMENT.html","GOBP_VENTRICULAR_CARDIAC_MUSCLE_TISSUE_DEVELOPMENT")</f>
        <v>GOBP_VENTRICULAR_CARDIAC_MUSCLE_TISSUE_DEVELOPMENT</v>
      </c>
      <c r="C3224" s="4">
        <v>64</v>
      </c>
      <c r="D3224" s="3">
        <v>1.0462718</v>
      </c>
      <c r="E3224" s="1">
        <v>0.38644065999999999</v>
      </c>
      <c r="F3224" s="2">
        <v>0.52290033999999996</v>
      </c>
    </row>
    <row r="3225" spans="1:6" x14ac:dyDescent="0.25">
      <c r="A3225" t="s">
        <v>8</v>
      </c>
      <c r="B3225" s="5" t="str">
        <f>HYPERLINK("http://www.broadinstitute.org/gsea/msigdb/cards/GOMF_ADENYLATE_CYCLASE_BINDING.html","GOMF_ADENYLATE_CYCLASE_BINDING")</f>
        <v>GOMF_ADENYLATE_CYCLASE_BINDING</v>
      </c>
      <c r="C3225" s="4">
        <v>15</v>
      </c>
      <c r="D3225" s="3">
        <v>1.0460579000000001</v>
      </c>
      <c r="E3225" s="1">
        <v>0.39317774999999999</v>
      </c>
      <c r="F3225" s="2">
        <v>0.52321220000000002</v>
      </c>
    </row>
    <row r="3226" spans="1:6" x14ac:dyDescent="0.25">
      <c r="A3226" t="s">
        <v>11</v>
      </c>
      <c r="B3226" s="5" t="str">
        <f>HYPERLINK("http://www.broadinstitute.org/gsea/msigdb/cards/WP_MECHANISMS_ASSOCIATED_WITH_PLURIPOTENCY.html","WP_MECHANISMS_ASSOCIATED_WITH_PLURIPOTENCY")</f>
        <v>WP_MECHANISMS_ASSOCIATED_WITH_PLURIPOTENCY</v>
      </c>
      <c r="C3226" s="4">
        <v>282</v>
      </c>
      <c r="D3226" s="3">
        <v>1.0457292</v>
      </c>
      <c r="E3226" s="1">
        <v>0.35145887999999997</v>
      </c>
      <c r="F3226" s="2">
        <v>0.52381796000000003</v>
      </c>
    </row>
    <row r="3227" spans="1:6" x14ac:dyDescent="0.25">
      <c r="A3227" t="s">
        <v>8</v>
      </c>
      <c r="B3227" s="5" t="str">
        <f>HYPERLINK("http://www.broadinstitute.org/gsea/msigdb/cards/GOMF_ANTIOXIDANT_ACTIVITY.html","GOMF_ANTIOXIDANT_ACTIVITY")</f>
        <v>GOMF_ANTIOXIDANT_ACTIVITY</v>
      </c>
      <c r="C3227" s="4">
        <v>78</v>
      </c>
      <c r="D3227" s="3">
        <v>1.0453566000000001</v>
      </c>
      <c r="E3227" s="1">
        <v>0.35974643000000001</v>
      </c>
      <c r="F3227" s="2">
        <v>0.52449553999999998</v>
      </c>
    </row>
    <row r="3228" spans="1:6" x14ac:dyDescent="0.25">
      <c r="A3228" t="s">
        <v>8</v>
      </c>
      <c r="B3228" s="5" t="str">
        <f>HYPERLINK("http://www.broadinstitute.org/gsea/msigdb/cards/GOMF_DNA_REPLICATION_ORIGIN_BINDING.html","GOMF_DNA_REPLICATION_ORIGIN_BINDING")</f>
        <v>GOMF_DNA_REPLICATION_ORIGIN_BINDING</v>
      </c>
      <c r="C3228" s="4">
        <v>15</v>
      </c>
      <c r="D3228" s="3">
        <v>1.0446095</v>
      </c>
      <c r="E3228" s="1">
        <v>0.38515902000000002</v>
      </c>
      <c r="F3228" s="2">
        <v>0.52608323000000001</v>
      </c>
    </row>
    <row r="3229" spans="1:6" x14ac:dyDescent="0.25">
      <c r="A3229" t="s">
        <v>11</v>
      </c>
      <c r="B3229" s="5" t="str">
        <f>HYPERLINK("http://www.broadinstitute.org/gsea/msigdb/cards/WP_EBV_LMP1_SIGNALING.html","WP_EBV_LMP1_SIGNALING")</f>
        <v>WP_EBV_LMP1_SIGNALING</v>
      </c>
      <c r="C3229" s="4">
        <v>20</v>
      </c>
      <c r="D3229" s="3">
        <v>1.0443039000000001</v>
      </c>
      <c r="E3229" s="1">
        <v>0.39829059999999999</v>
      </c>
      <c r="F3229" s="2">
        <v>0.52662039999999999</v>
      </c>
    </row>
    <row r="3230" spans="1:6" x14ac:dyDescent="0.25">
      <c r="A3230" t="s">
        <v>6</v>
      </c>
      <c r="B3230" s="5" t="str">
        <f>HYPERLINK("http://www.broadinstitute.org/gsea/msigdb/cards/GOBP_OOCYTE_DIFFERENTIATION.html","GOBP_OOCYTE_DIFFERENTIATION")</f>
        <v>GOBP_OOCYTE_DIFFERENTIATION</v>
      </c>
      <c r="C3230" s="4">
        <v>66</v>
      </c>
      <c r="D3230" s="3">
        <v>1.0442809</v>
      </c>
      <c r="E3230" s="1">
        <v>0.38034865000000001</v>
      </c>
      <c r="F3230" s="2">
        <v>0.52651110000000001</v>
      </c>
    </row>
    <row r="3231" spans="1:6" x14ac:dyDescent="0.25">
      <c r="A3231" t="s">
        <v>6</v>
      </c>
      <c r="B3231" s="5" t="str">
        <f>HYPERLINK("http://www.broadinstitute.org/gsea/msigdb/cards/GOBP_SHORT_CHAIN_FATTY_ACID_METABOLIC_PROCESS.html","GOBP_SHORT_CHAIN_FATTY_ACID_METABOLIC_PROCESS")</f>
        <v>GOBP_SHORT_CHAIN_FATTY_ACID_METABOLIC_PROCESS</v>
      </c>
      <c r="C3231" s="4">
        <v>15</v>
      </c>
      <c r="D3231" s="3">
        <v>1.0437057000000001</v>
      </c>
      <c r="E3231" s="1">
        <v>0.40834847000000002</v>
      </c>
      <c r="F3231" s="2">
        <v>0.52764666000000005</v>
      </c>
    </row>
    <row r="3232" spans="1:6" x14ac:dyDescent="0.25">
      <c r="A3232" t="s">
        <v>6</v>
      </c>
      <c r="B3232" s="5" t="str">
        <f>HYPERLINK("http://www.broadinstitute.org/gsea/msigdb/cards/GOBP_INNER_CELL_MASS_CELL_PROLIFERATION.html","GOBP_INNER_CELL_MASS_CELL_PROLIFERATION")</f>
        <v>GOBP_INNER_CELL_MASS_CELL_PROLIFERATION</v>
      </c>
      <c r="C3232" s="4">
        <v>17</v>
      </c>
      <c r="D3232" s="3">
        <v>1.0434577</v>
      </c>
      <c r="E3232" s="1">
        <v>0.39826085999999999</v>
      </c>
      <c r="F3232" s="2">
        <v>0.52807117000000003</v>
      </c>
    </row>
    <row r="3233" spans="1:6" x14ac:dyDescent="0.25">
      <c r="A3233" t="s">
        <v>6</v>
      </c>
      <c r="B3233" s="5" t="str">
        <f>HYPERLINK("http://www.broadinstitute.org/gsea/msigdb/cards/GOBP_POSITIVE_REGULATION_OF_EPITHELIAL_CELL_APOPTOTIC_PROCESS.html","GOBP_POSITIVE_REGULATION_OF_EPITHELIAL_CELL_APOPTOTIC_PROCESS")</f>
        <v>GOBP_POSITIVE_REGULATION_OF_EPITHELIAL_CELL_APOPTOTIC_PROCESS</v>
      </c>
      <c r="C3233" s="4">
        <v>47</v>
      </c>
      <c r="D3233" s="3">
        <v>1.0433091999999999</v>
      </c>
      <c r="E3233" s="1">
        <v>0.37647059999999999</v>
      </c>
      <c r="F3233" s="2">
        <v>0.52824629999999995</v>
      </c>
    </row>
    <row r="3234" spans="1:6" x14ac:dyDescent="0.25">
      <c r="A3234" t="s">
        <v>10</v>
      </c>
      <c r="B3234" s="5" t="str">
        <f>HYPERLINK("http://www.broadinstitute.org/gsea/msigdb/cards/REACTOME_C_TYPE_LECTIN_RECEPTORS_CLRS.html","REACTOME_C_TYPE_LECTIN_RECEPTORS_CLRS")</f>
        <v>REACTOME_C_TYPE_LECTIN_RECEPTORS_CLRS</v>
      </c>
      <c r="C3234" s="4">
        <v>111</v>
      </c>
      <c r="D3234" s="3">
        <v>1.0429643</v>
      </c>
      <c r="E3234" s="1">
        <v>0.36897590000000002</v>
      </c>
      <c r="F3234" s="2">
        <v>0.52885150000000003</v>
      </c>
    </row>
    <row r="3235" spans="1:6" x14ac:dyDescent="0.25">
      <c r="A3235" t="s">
        <v>6</v>
      </c>
      <c r="B3235" s="5" t="str">
        <f>HYPERLINK("http://www.broadinstitute.org/gsea/msigdb/cards/GOBP_AMINE_TRANSPORT.html","GOBP_AMINE_TRANSPORT")</f>
        <v>GOBP_AMINE_TRANSPORT</v>
      </c>
      <c r="C3235" s="4">
        <v>127</v>
      </c>
      <c r="D3235" s="3">
        <v>1.0428025999999999</v>
      </c>
      <c r="E3235" s="1">
        <v>0.35329342000000002</v>
      </c>
      <c r="F3235" s="2">
        <v>0.5290745</v>
      </c>
    </row>
    <row r="3236" spans="1:6" x14ac:dyDescent="0.25">
      <c r="A3236" t="s">
        <v>6</v>
      </c>
      <c r="B3236" s="5" t="str">
        <f>HYPERLINK("http://www.broadinstitute.org/gsea/msigdb/cards/GOBP_EMBRYONIC_BODY_MORPHOGENESIS.html","GOBP_EMBRYONIC_BODY_MORPHOGENESIS")</f>
        <v>GOBP_EMBRYONIC_BODY_MORPHOGENESIS</v>
      </c>
      <c r="C3236" s="4">
        <v>15</v>
      </c>
      <c r="D3236" s="3">
        <v>1.0427816999999999</v>
      </c>
      <c r="E3236" s="1">
        <v>0.42832170000000003</v>
      </c>
      <c r="F3236" s="2">
        <v>0.52894830000000004</v>
      </c>
    </row>
    <row r="3237" spans="1:6" x14ac:dyDescent="0.25">
      <c r="A3237" t="s">
        <v>6</v>
      </c>
      <c r="B3237" s="5" t="str">
        <f>HYPERLINK("http://www.broadinstitute.org/gsea/msigdb/cards/GOBP_PROTEIN_O_LINKED_MANNOSYLATION.html","GOBP_PROTEIN_O_LINKED_MANNOSYLATION")</f>
        <v>GOBP_PROTEIN_O_LINKED_MANNOSYLATION</v>
      </c>
      <c r="C3237" s="4">
        <v>16</v>
      </c>
      <c r="D3237" s="3">
        <v>1.0425112000000001</v>
      </c>
      <c r="E3237" s="1">
        <v>0.39965695000000001</v>
      </c>
      <c r="F3237" s="2">
        <v>0.52941349999999998</v>
      </c>
    </row>
    <row r="3238" spans="1:6" x14ac:dyDescent="0.25">
      <c r="A3238" t="s">
        <v>6</v>
      </c>
      <c r="B3238" s="5" t="str">
        <f>HYPERLINK("http://www.broadinstitute.org/gsea/msigdb/cards/GOBP_INSULIN_SECRETION.html","GOBP_INSULIN_SECRETION")</f>
        <v>GOBP_INSULIN_SECRETION</v>
      </c>
      <c r="C3238" s="4">
        <v>247</v>
      </c>
      <c r="D3238" s="3">
        <v>1.0423235</v>
      </c>
      <c r="E3238" s="1">
        <v>0.36181574999999999</v>
      </c>
      <c r="F3238" s="2">
        <v>0.52969670000000002</v>
      </c>
    </row>
    <row r="3239" spans="1:6" x14ac:dyDescent="0.25">
      <c r="A3239" t="s">
        <v>6</v>
      </c>
      <c r="B3239" s="5" t="str">
        <f>HYPERLINK("http://www.broadinstitute.org/gsea/msigdb/cards/GOBP_DNA_METHYLATION_DEPENDENT_HETEROCHROMATIN_FORMATION.html","GOBP_DNA_METHYLATION_DEPENDENT_HETEROCHROMATIN_FORMATION")</f>
        <v>GOBP_DNA_METHYLATION_DEPENDENT_HETEROCHROMATIN_FORMATION</v>
      </c>
      <c r="C3239" s="4">
        <v>30</v>
      </c>
      <c r="D3239" s="3">
        <v>1.0422720000000001</v>
      </c>
      <c r="E3239" s="1">
        <v>0.39262819999999998</v>
      </c>
      <c r="F3239" s="2">
        <v>0.52965843999999995</v>
      </c>
    </row>
    <row r="3240" spans="1:6" x14ac:dyDescent="0.25">
      <c r="A3240" t="s">
        <v>6</v>
      </c>
      <c r="B3240" s="5" t="str">
        <f>HYPERLINK("http://www.broadinstitute.org/gsea/msigdb/cards/GOBP_TRANSPOSITION.html","GOBP_TRANSPOSITION")</f>
        <v>GOBP_TRANSPOSITION</v>
      </c>
      <c r="C3240" s="4">
        <v>32</v>
      </c>
      <c r="D3240" s="3">
        <v>1.0421465999999999</v>
      </c>
      <c r="E3240" s="1">
        <v>0.39730638000000001</v>
      </c>
      <c r="F3240" s="2">
        <v>0.52978159999999996</v>
      </c>
    </row>
    <row r="3241" spans="1:6" x14ac:dyDescent="0.25">
      <c r="A3241" t="s">
        <v>10</v>
      </c>
      <c r="B3241" s="5" t="str">
        <f>HYPERLINK("http://www.broadinstitute.org/gsea/msigdb/cards/REACTOME_SIGNALING_BY_FGFR.html","REACTOME_SIGNALING_BY_FGFR")</f>
        <v>REACTOME_SIGNALING_BY_FGFR</v>
      </c>
      <c r="C3241" s="4">
        <v>76</v>
      </c>
      <c r="D3241" s="3">
        <v>1.0418826000000001</v>
      </c>
      <c r="E3241" s="1">
        <v>0.39096573000000001</v>
      </c>
      <c r="F3241" s="2">
        <v>0.53022239999999998</v>
      </c>
    </row>
    <row r="3242" spans="1:6" x14ac:dyDescent="0.25">
      <c r="A3242" t="s">
        <v>6</v>
      </c>
      <c r="B3242" s="5" t="str">
        <f>HYPERLINK("http://www.broadinstitute.org/gsea/msigdb/cards/GOBP_ANOIKIS.html","GOBP_ANOIKIS")</f>
        <v>GOBP_ANOIKIS</v>
      </c>
      <c r="C3242" s="4">
        <v>31</v>
      </c>
      <c r="D3242" s="3">
        <v>1.0418779</v>
      </c>
      <c r="E3242" s="1">
        <v>0.39795916999999997</v>
      </c>
      <c r="F3242" s="2">
        <v>0.53006909999999996</v>
      </c>
    </row>
    <row r="3243" spans="1:6" x14ac:dyDescent="0.25">
      <c r="A3243" t="s">
        <v>7</v>
      </c>
      <c r="B3243" s="5" t="str">
        <f>HYPERLINK("http://www.broadinstitute.org/gsea/msigdb/cards/GOCC_INTERCALATED_DISC.html","GOCC_INTERCALATED_DISC")</f>
        <v>GOCC_INTERCALATED_DISC</v>
      </c>
      <c r="C3243" s="4">
        <v>67</v>
      </c>
      <c r="D3243" s="3">
        <v>1.0410393</v>
      </c>
      <c r="E3243" s="1">
        <v>0.39423078</v>
      </c>
      <c r="F3243" s="2">
        <v>0.53190064000000004</v>
      </c>
    </row>
    <row r="3244" spans="1:6" x14ac:dyDescent="0.25">
      <c r="A3244" t="s">
        <v>6</v>
      </c>
      <c r="B3244" s="5" t="str">
        <f>HYPERLINK("http://www.broadinstitute.org/gsea/msigdb/cards/GOBP_REPLACEMENT_OSSIFICATION.html","GOBP_REPLACEMENT_OSSIFICATION")</f>
        <v>GOBP_REPLACEMENT_OSSIFICATION</v>
      </c>
      <c r="C3244" s="4">
        <v>36</v>
      </c>
      <c r="D3244" s="3">
        <v>1.0404149</v>
      </c>
      <c r="E3244" s="1">
        <v>0.41197183999999998</v>
      </c>
      <c r="F3244" s="2">
        <v>0.53318626000000002</v>
      </c>
    </row>
    <row r="3245" spans="1:6" x14ac:dyDescent="0.25">
      <c r="A3245" t="s">
        <v>6</v>
      </c>
      <c r="B3245" s="5" t="str">
        <f>HYPERLINK("http://www.broadinstitute.org/gsea/msigdb/cards/GOBP_GROWTH_HORMONE_SECRETION.html","GOBP_GROWTH_HORMONE_SECRETION")</f>
        <v>GOBP_GROWTH_HORMONE_SECRETION</v>
      </c>
      <c r="C3245" s="4">
        <v>21</v>
      </c>
      <c r="D3245" s="3">
        <v>1.0403640000000001</v>
      </c>
      <c r="E3245" s="1">
        <v>0.40780142000000003</v>
      </c>
      <c r="F3245" s="2">
        <v>0.53313619999999995</v>
      </c>
    </row>
    <row r="3246" spans="1:6" x14ac:dyDescent="0.25">
      <c r="A3246" t="s">
        <v>6</v>
      </c>
      <c r="B3246" s="5" t="str">
        <f>HYPERLINK("http://www.broadinstitute.org/gsea/msigdb/cards/GOBP_NEGATIVE_REGULATION_OF_AXON_EXTENSION.html","GOBP_NEGATIVE_REGULATION_OF_AXON_EXTENSION")</f>
        <v>GOBP_NEGATIVE_REGULATION_OF_AXON_EXTENSION</v>
      </c>
      <c r="C3246" s="4">
        <v>49</v>
      </c>
      <c r="D3246" s="3">
        <v>1.0401932</v>
      </c>
      <c r="E3246" s="1">
        <v>0.39067524999999997</v>
      </c>
      <c r="F3246" s="2">
        <v>0.53334974999999996</v>
      </c>
    </row>
    <row r="3247" spans="1:6" x14ac:dyDescent="0.25">
      <c r="A3247" t="s">
        <v>7</v>
      </c>
      <c r="B3247" s="5" t="str">
        <f>HYPERLINK("http://www.broadinstitute.org/gsea/msigdb/cards/GOCC_APICAL_JUNCTION_COMPLEX.html","GOCC_APICAL_JUNCTION_COMPLEX")</f>
        <v>GOCC_APICAL_JUNCTION_COMPLEX</v>
      </c>
      <c r="C3247" s="4">
        <v>148</v>
      </c>
      <c r="D3247" s="3">
        <v>1.0400252000000001</v>
      </c>
      <c r="E3247" s="1">
        <v>0.36762482000000002</v>
      </c>
      <c r="F3247" s="2">
        <v>0.53359186999999997</v>
      </c>
    </row>
    <row r="3248" spans="1:6" x14ac:dyDescent="0.25">
      <c r="A3248" t="s">
        <v>7</v>
      </c>
      <c r="B3248" s="5" t="str">
        <f>HYPERLINK("http://www.broadinstitute.org/gsea/msigdb/cards/GOCC_EXOCYST.html","GOCC_EXOCYST")</f>
        <v>GOCC_EXOCYST</v>
      </c>
      <c r="C3248" s="4">
        <v>17</v>
      </c>
      <c r="D3248" s="3">
        <v>1.0397324999999999</v>
      </c>
      <c r="E3248" s="1">
        <v>0.39084506000000002</v>
      </c>
      <c r="F3248" s="2">
        <v>0.53410840000000004</v>
      </c>
    </row>
    <row r="3249" spans="1:6" x14ac:dyDescent="0.25">
      <c r="A3249" t="s">
        <v>6</v>
      </c>
      <c r="B3249" s="5" t="str">
        <f>HYPERLINK("http://www.broadinstitute.org/gsea/msigdb/cards/GOBP_NEGATIVE_REGULATION_OF_CATABOLIC_PROCESS.html","GOBP_NEGATIVE_REGULATION_OF_CATABOLIC_PROCESS")</f>
        <v>GOBP_NEGATIVE_REGULATION_OF_CATABOLIC_PROCESS</v>
      </c>
      <c r="C3249" s="4">
        <v>339</v>
      </c>
      <c r="D3249" s="3">
        <v>1.0395570999999999</v>
      </c>
      <c r="E3249" s="1">
        <v>0.34886815999999998</v>
      </c>
      <c r="F3249" s="2">
        <v>0.53436090000000003</v>
      </c>
    </row>
    <row r="3250" spans="1:6" x14ac:dyDescent="0.25">
      <c r="A3250" t="s">
        <v>6</v>
      </c>
      <c r="B3250" s="5" t="str">
        <f>HYPERLINK("http://www.broadinstitute.org/gsea/msigdb/cards/GOBP_CELL_MATURATION.html","GOBP_CELL_MATURATION")</f>
        <v>GOBP_CELL_MATURATION</v>
      </c>
      <c r="C3250" s="4">
        <v>212</v>
      </c>
      <c r="D3250" s="3">
        <v>1.0393971</v>
      </c>
      <c r="E3250" s="1">
        <v>0.35605007</v>
      </c>
      <c r="F3250" s="2">
        <v>0.53457284000000005</v>
      </c>
    </row>
    <row r="3251" spans="1:6" x14ac:dyDescent="0.25">
      <c r="A3251" t="s">
        <v>6</v>
      </c>
      <c r="B3251" s="5" t="str">
        <f>HYPERLINK("http://www.broadinstitute.org/gsea/msigdb/cards/GOBP_DEVELOPMENTAL_GROWTH_INVOLVED_IN_MORPHOGENESIS.html","GOBP_DEVELOPMENTAL_GROWTH_INVOLVED_IN_MORPHOGENESIS")</f>
        <v>GOBP_DEVELOPMENTAL_GROWTH_INVOLVED_IN_MORPHOGENESIS</v>
      </c>
      <c r="C3251" s="4">
        <v>287</v>
      </c>
      <c r="D3251" s="3">
        <v>1.0393106000000001</v>
      </c>
      <c r="E3251" s="1">
        <v>0.36048064000000002</v>
      </c>
      <c r="F3251" s="2">
        <v>0.53462390000000004</v>
      </c>
    </row>
    <row r="3252" spans="1:6" x14ac:dyDescent="0.25">
      <c r="A3252" t="s">
        <v>6</v>
      </c>
      <c r="B3252" s="5" t="str">
        <f>HYPERLINK("http://www.broadinstitute.org/gsea/msigdb/cards/GOBP_NEGATIVE_REGULATION_OF_DNA_BINDING_TRANSCRIPTION_FACTOR_ACTIVITY.html","GOBP_NEGATIVE_REGULATION_OF_DNA_BINDING_TRANSCRIPTION_FACTOR_ACTIVITY")</f>
        <v>GOBP_NEGATIVE_REGULATION_OF_DNA_BINDING_TRANSCRIPTION_FACTOR_ACTIVITY</v>
      </c>
      <c r="C3252" s="4">
        <v>166</v>
      </c>
      <c r="D3252" s="3">
        <v>1.0388428999999999</v>
      </c>
      <c r="E3252" s="1">
        <v>0.35147060000000002</v>
      </c>
      <c r="F3252" s="2">
        <v>0.53555660000000005</v>
      </c>
    </row>
    <row r="3253" spans="1:6" x14ac:dyDescent="0.25">
      <c r="A3253" t="s">
        <v>6</v>
      </c>
      <c r="B3253" s="5" t="str">
        <f>HYPERLINK("http://www.broadinstitute.org/gsea/msigdb/cards/GOBP_GLYCOSYL_COMPOUND_BIOSYNTHETIC_PROCESS.html","GOBP_GLYCOSYL_COMPOUND_BIOSYNTHETIC_PROCESS")</f>
        <v>GOBP_GLYCOSYL_COMPOUND_BIOSYNTHETIC_PROCESS</v>
      </c>
      <c r="C3253" s="4">
        <v>18</v>
      </c>
      <c r="D3253" s="3">
        <v>1.038645</v>
      </c>
      <c r="E3253" s="1">
        <v>0.41609587999999997</v>
      </c>
      <c r="F3253" s="2">
        <v>0.53586334000000002</v>
      </c>
    </row>
    <row r="3254" spans="1:6" x14ac:dyDescent="0.25">
      <c r="A3254" t="s">
        <v>6</v>
      </c>
      <c r="B3254" s="5" t="str">
        <f>HYPERLINK("http://www.broadinstitute.org/gsea/msigdb/cards/GOBP_NEGATIVE_REGULATION_OF_ENDOPLASMIC_RETICULUM_STRESS_INDUCED_INTRINSIC_APOPTOTIC_SIGNALING_PATHWAY.html","GOBP_NEGATIVE_REGULATION_OF_ENDOPLASMIC_RETICULUM_STRESS_INDUCED_INTRINSIC_APOPTOTIC_SIGNALING_PATHWAY")</f>
        <v>GOBP_NEGATIVE_REGULATION_OF_ENDOPLASMIC_RETICULUM_STRESS_INDUCED_INTRINSIC_APOPTOTIC_SIGNALING_PATHWAY</v>
      </c>
      <c r="C3254" s="4">
        <v>19</v>
      </c>
      <c r="D3254" s="3">
        <v>1.0384085999999999</v>
      </c>
      <c r="E3254" s="1">
        <v>0.40451389999999998</v>
      </c>
      <c r="F3254" s="2">
        <v>0.53624594000000003</v>
      </c>
    </row>
    <row r="3255" spans="1:6" x14ac:dyDescent="0.25">
      <c r="A3255" t="s">
        <v>10</v>
      </c>
      <c r="B3255" s="5" t="str">
        <f>HYPERLINK("http://www.broadinstitute.org/gsea/msigdb/cards/REACTOME_SYNTHESIS_OF_BILE_ACIDS_AND_BILE_SALTS.html","REACTOME_SYNTHESIS_OF_BILE_ACIDS_AND_BILE_SALTS")</f>
        <v>REACTOME_SYNTHESIS_OF_BILE_ACIDS_AND_BILE_SALTS</v>
      </c>
      <c r="C3255" s="4">
        <v>35</v>
      </c>
      <c r="D3255" s="3">
        <v>1.0381407</v>
      </c>
      <c r="E3255" s="1">
        <v>0.39044482000000003</v>
      </c>
      <c r="F3255" s="2">
        <v>0.53670890000000004</v>
      </c>
    </row>
    <row r="3256" spans="1:6" x14ac:dyDescent="0.25">
      <c r="A3256" t="s">
        <v>6</v>
      </c>
      <c r="B3256" s="5" t="str">
        <f>HYPERLINK("http://www.broadinstitute.org/gsea/msigdb/cards/GOBP_MEGAKARYOCYTE_DIFFERENTIATION.html","GOBP_MEGAKARYOCYTE_DIFFERENTIATION")</f>
        <v>GOBP_MEGAKARYOCYTE_DIFFERENTIATION</v>
      </c>
      <c r="C3256" s="4">
        <v>51</v>
      </c>
      <c r="D3256" s="3">
        <v>1.0375555000000001</v>
      </c>
      <c r="E3256" s="1">
        <v>0.37397036</v>
      </c>
      <c r="F3256" s="2">
        <v>0.53792790000000001</v>
      </c>
    </row>
    <row r="3257" spans="1:6" x14ac:dyDescent="0.25">
      <c r="A3257" t="s">
        <v>6</v>
      </c>
      <c r="B3257" s="5" t="str">
        <f>HYPERLINK("http://www.broadinstitute.org/gsea/msigdb/cards/GOBP_LIPID_HOMEOSTASIS.html","GOBP_LIPID_HOMEOSTASIS")</f>
        <v>GOBP_LIPID_HOMEOSTASIS</v>
      </c>
      <c r="C3257" s="4">
        <v>174</v>
      </c>
      <c r="D3257" s="3">
        <v>1.0375361000000001</v>
      </c>
      <c r="E3257" s="1">
        <v>0.35618480000000002</v>
      </c>
      <c r="F3257" s="2">
        <v>0.53780289999999997</v>
      </c>
    </row>
    <row r="3258" spans="1:6" x14ac:dyDescent="0.25">
      <c r="A3258" t="s">
        <v>6</v>
      </c>
      <c r="B3258" s="5" t="str">
        <f>HYPERLINK("http://www.broadinstitute.org/gsea/msigdb/cards/GOBP_INORGANIC_ION_IMPORT_ACROSS_PLASMA_MEMBRANE.html","GOBP_INORGANIC_ION_IMPORT_ACROSS_PLASMA_MEMBRANE")</f>
        <v>GOBP_INORGANIC_ION_IMPORT_ACROSS_PLASMA_MEMBRANE</v>
      </c>
      <c r="C3258" s="4">
        <v>122</v>
      </c>
      <c r="D3258" s="3">
        <v>1.0372958999999999</v>
      </c>
      <c r="E3258" s="1">
        <v>0.39221558000000001</v>
      </c>
      <c r="F3258" s="2">
        <v>0.53819280000000003</v>
      </c>
    </row>
    <row r="3259" spans="1:6" x14ac:dyDescent="0.25">
      <c r="A3259" t="s">
        <v>6</v>
      </c>
      <c r="B3259" s="5" t="str">
        <f>HYPERLINK("http://www.broadinstitute.org/gsea/msigdb/cards/GOBP_NEUROTRANSMITTER_RECEPTOR_INTERNALIZATION.html","GOBP_NEUROTRANSMITTER_RECEPTOR_INTERNALIZATION")</f>
        <v>GOBP_NEUROTRANSMITTER_RECEPTOR_INTERNALIZATION</v>
      </c>
      <c r="C3259" s="4">
        <v>45</v>
      </c>
      <c r="D3259" s="3">
        <v>1.0368230000000001</v>
      </c>
      <c r="E3259" s="1">
        <v>0.40716612000000002</v>
      </c>
      <c r="F3259" s="2">
        <v>0.53915274000000002</v>
      </c>
    </row>
    <row r="3260" spans="1:6" x14ac:dyDescent="0.25">
      <c r="A3260" t="s">
        <v>6</v>
      </c>
      <c r="B3260" s="5" t="str">
        <f>HYPERLINK("http://www.broadinstitute.org/gsea/msigdb/cards/GOBP_STEM_CELL_DIFFERENTIATION.html","GOBP_STEM_CELL_DIFFERENTIATION")</f>
        <v>GOBP_STEM_CELL_DIFFERENTIATION</v>
      </c>
      <c r="C3260" s="4">
        <v>259</v>
      </c>
      <c r="D3260" s="3">
        <v>1.0364598</v>
      </c>
      <c r="E3260" s="1">
        <v>0.34886815999999998</v>
      </c>
      <c r="F3260" s="2">
        <v>0.53983130000000001</v>
      </c>
    </row>
    <row r="3261" spans="1:6" x14ac:dyDescent="0.25">
      <c r="A3261" t="s">
        <v>10</v>
      </c>
      <c r="B3261" s="5" t="str">
        <f>HYPERLINK("http://www.broadinstitute.org/gsea/msigdb/cards/REACTOME_REGULATION_OF_NF_KAPPA_B_SIGNALING.html","REACTOME_REGULATION_OF_NF_KAPPA_B_SIGNALING")</f>
        <v>REACTOME_REGULATION_OF_NF_KAPPA_B_SIGNALING</v>
      </c>
      <c r="C3261" s="4">
        <v>16</v>
      </c>
      <c r="D3261" s="3">
        <v>1.0364498</v>
      </c>
      <c r="E3261" s="1">
        <v>0.3985765</v>
      </c>
      <c r="F3261" s="2">
        <v>0.53968570000000005</v>
      </c>
    </row>
    <row r="3262" spans="1:6" x14ac:dyDescent="0.25">
      <c r="A3262" t="s">
        <v>8</v>
      </c>
      <c r="B3262" s="5" t="str">
        <f>HYPERLINK("http://www.broadinstitute.org/gsea/msigdb/cards/GOMF_WNT_PROTEIN_BINDING.html","GOMF_WNT_PROTEIN_BINDING")</f>
        <v>GOMF_WNT_PROTEIN_BINDING</v>
      </c>
      <c r="C3262" s="4">
        <v>31</v>
      </c>
      <c r="D3262" s="3">
        <v>1.036063</v>
      </c>
      <c r="E3262" s="1">
        <v>0.38166665999999999</v>
      </c>
      <c r="F3262" s="2">
        <v>0.54040259999999996</v>
      </c>
    </row>
    <row r="3263" spans="1:6" x14ac:dyDescent="0.25">
      <c r="A3263" t="s">
        <v>6</v>
      </c>
      <c r="B3263" s="5" t="str">
        <f>HYPERLINK("http://www.broadinstitute.org/gsea/msigdb/cards/GOBP_REGULATION_OF_HEMATOPOIETIC_STEM_CELL_PROLIFERATION.html","GOBP_REGULATION_OF_HEMATOPOIETIC_STEM_CELL_PROLIFERATION")</f>
        <v>GOBP_REGULATION_OF_HEMATOPOIETIC_STEM_CELL_PROLIFERATION</v>
      </c>
      <c r="C3263" s="4">
        <v>18</v>
      </c>
      <c r="D3263" s="3">
        <v>1.0359400000000001</v>
      </c>
      <c r="E3263" s="1">
        <v>0.41428572000000002</v>
      </c>
      <c r="F3263" s="2">
        <v>0.54051083</v>
      </c>
    </row>
    <row r="3264" spans="1:6" x14ac:dyDescent="0.25">
      <c r="A3264" t="s">
        <v>6</v>
      </c>
      <c r="B3264" s="5" t="str">
        <f>HYPERLINK("http://www.broadinstitute.org/gsea/msigdb/cards/GOBP_NEGATIVE_REGULATION_OF_EXTRINSIC_APOPTOTIC_SIGNALING_PATHWAY.html","GOBP_NEGATIVE_REGULATION_OF_EXTRINSIC_APOPTOTIC_SIGNALING_PATHWAY")</f>
        <v>GOBP_NEGATIVE_REGULATION_OF_EXTRINSIC_APOPTOTIC_SIGNALING_PATHWAY</v>
      </c>
      <c r="C3264" s="4">
        <v>100</v>
      </c>
      <c r="D3264" s="3">
        <v>1.0353725</v>
      </c>
      <c r="E3264" s="1">
        <v>0.375</v>
      </c>
      <c r="F3264" s="2">
        <v>0.54165505999999997</v>
      </c>
    </row>
    <row r="3265" spans="1:6" x14ac:dyDescent="0.25">
      <c r="A3265" t="s">
        <v>6</v>
      </c>
      <c r="B3265" s="5" t="str">
        <f>HYPERLINK("http://www.broadinstitute.org/gsea/msigdb/cards/GOBP_DIET_INDUCED_THERMOGENESIS.html","GOBP_DIET_INDUCED_THERMOGENESIS")</f>
        <v>GOBP_DIET_INDUCED_THERMOGENESIS</v>
      </c>
      <c r="C3265" s="4">
        <v>16</v>
      </c>
      <c r="D3265" s="3">
        <v>1.0350462</v>
      </c>
      <c r="E3265" s="1">
        <v>0.42018348</v>
      </c>
      <c r="F3265" s="2">
        <v>0.54225009999999996</v>
      </c>
    </row>
    <row r="3266" spans="1:6" x14ac:dyDescent="0.25">
      <c r="A3266" t="s">
        <v>6</v>
      </c>
      <c r="B3266" s="5" t="str">
        <f>HYPERLINK("http://www.broadinstitute.org/gsea/msigdb/cards/GOBP_NEGATIVE_REGULATION_OF_MICROTUBULE_POLYMERIZATION.html","GOBP_NEGATIVE_REGULATION_OF_MICROTUBULE_POLYMERIZATION")</f>
        <v>GOBP_NEGATIVE_REGULATION_OF_MICROTUBULE_POLYMERIZATION</v>
      </c>
      <c r="C3266" s="4">
        <v>15</v>
      </c>
      <c r="D3266" s="3">
        <v>1.0348294</v>
      </c>
      <c r="E3266" s="1">
        <v>0.41258739999999999</v>
      </c>
      <c r="F3266" s="2">
        <v>0.54258660000000003</v>
      </c>
    </row>
    <row r="3267" spans="1:6" x14ac:dyDescent="0.25">
      <c r="A3267" t="s">
        <v>6</v>
      </c>
      <c r="B3267" s="5" t="str">
        <f>HYPERLINK("http://www.broadinstitute.org/gsea/msigdb/cards/GOBP_RELEASE_OF_CYTOCHROME_C_FROM_MITOCHONDRIA.html","GOBP_RELEASE_OF_CYTOCHROME_C_FROM_MITOCHONDRIA")</f>
        <v>GOBP_RELEASE_OF_CYTOCHROME_C_FROM_MITOCHONDRIA</v>
      </c>
      <c r="C3267" s="4">
        <v>66</v>
      </c>
      <c r="D3267" s="3">
        <v>1.034292</v>
      </c>
      <c r="E3267" s="1">
        <v>0.38058552000000001</v>
      </c>
      <c r="F3267" s="2">
        <v>0.54364436999999999</v>
      </c>
    </row>
    <row r="3268" spans="1:6" x14ac:dyDescent="0.25">
      <c r="A3268" t="s">
        <v>6</v>
      </c>
      <c r="B3268" s="5" t="str">
        <f>HYPERLINK("http://www.broadinstitute.org/gsea/msigdb/cards/GOBP_MODIFICATION_OF_POSTSYNAPTIC_STRUCTURE.html","GOBP_MODIFICATION_OF_POSTSYNAPTIC_STRUCTURE")</f>
        <v>GOBP_MODIFICATION_OF_POSTSYNAPTIC_STRUCTURE</v>
      </c>
      <c r="C3268" s="4">
        <v>34</v>
      </c>
      <c r="D3268" s="3">
        <v>1.034151</v>
      </c>
      <c r="E3268" s="1">
        <v>0.38333333000000003</v>
      </c>
      <c r="F3268" s="2">
        <v>0.54380393000000005</v>
      </c>
    </row>
    <row r="3269" spans="1:6" x14ac:dyDescent="0.25">
      <c r="A3269" t="s">
        <v>6</v>
      </c>
      <c r="B3269" s="5" t="str">
        <f>HYPERLINK("http://www.broadinstitute.org/gsea/msigdb/cards/GOBP_AMIDE_CATABOLIC_PROCESS.html","GOBP_AMIDE_CATABOLIC_PROCESS")</f>
        <v>GOBP_AMIDE_CATABOLIC_PROCESS</v>
      </c>
      <c r="C3269" s="4">
        <v>22</v>
      </c>
      <c r="D3269" s="3">
        <v>1.0337151</v>
      </c>
      <c r="E3269" s="1">
        <v>0.40070297999999999</v>
      </c>
      <c r="F3269" s="2">
        <v>0.54464990000000002</v>
      </c>
    </row>
    <row r="3270" spans="1:6" x14ac:dyDescent="0.25">
      <c r="A3270" t="s">
        <v>6</v>
      </c>
      <c r="B3270" s="5" t="str">
        <f>HYPERLINK("http://www.broadinstitute.org/gsea/msigdb/cards/GOBP_CELLULAR_OXIDANT_DETOXIFICATION.html","GOBP_CELLULAR_OXIDANT_DETOXIFICATION")</f>
        <v>GOBP_CELLULAR_OXIDANT_DETOXIFICATION</v>
      </c>
      <c r="C3270" s="4">
        <v>30</v>
      </c>
      <c r="D3270" s="3">
        <v>1.0335968</v>
      </c>
      <c r="E3270" s="1">
        <v>0.43216080000000001</v>
      </c>
      <c r="F3270" s="2">
        <v>0.54476599999999997</v>
      </c>
    </row>
    <row r="3271" spans="1:6" x14ac:dyDescent="0.25">
      <c r="A3271" t="s">
        <v>6</v>
      </c>
      <c r="B3271" s="5" t="str">
        <f>HYPERLINK("http://www.broadinstitute.org/gsea/msigdb/cards/GOBP_ECTOPIC_GERM_CELL_PROGRAMMED_CELL_DEATH.html","GOBP_ECTOPIC_GERM_CELL_PROGRAMMED_CELL_DEATH")</f>
        <v>GOBP_ECTOPIC_GERM_CELL_PROGRAMMED_CELL_DEATH</v>
      </c>
      <c r="C3271" s="4">
        <v>20</v>
      </c>
      <c r="D3271" s="3">
        <v>1.0334094</v>
      </c>
      <c r="E3271" s="1">
        <v>0.41093475000000002</v>
      </c>
      <c r="F3271" s="2">
        <v>0.54504304999999997</v>
      </c>
    </row>
    <row r="3272" spans="1:6" x14ac:dyDescent="0.25">
      <c r="A3272" t="s">
        <v>6</v>
      </c>
      <c r="B3272" s="5" t="str">
        <f>HYPERLINK("http://www.broadinstitute.org/gsea/msigdb/cards/GOBP_REGULATION_OF_STEROID_METABOLIC_PROCESS.html","GOBP_REGULATION_OF_STEROID_METABOLIC_PROCESS")</f>
        <v>GOBP_REGULATION_OF_STEROID_METABOLIC_PROCESS</v>
      </c>
      <c r="C3272" s="4">
        <v>115</v>
      </c>
      <c r="D3272" s="3">
        <v>1.0332086</v>
      </c>
      <c r="E3272" s="1">
        <v>0.39762609999999998</v>
      </c>
      <c r="F3272" s="2">
        <v>0.5453403</v>
      </c>
    </row>
    <row r="3273" spans="1:6" x14ac:dyDescent="0.25">
      <c r="A3273" t="s">
        <v>5</v>
      </c>
      <c r="B3273" s="5" t="str">
        <f>HYPERLINK("http://www.broadinstitute.org/gsea/msigdb/cards/BIOCARTA_GPCR_PATHWAY.html","BIOCARTA_GPCR_PATHWAY")</f>
        <v>BIOCARTA_GPCR_PATHWAY</v>
      </c>
      <c r="C3273" s="4">
        <v>28</v>
      </c>
      <c r="D3273" s="3">
        <v>1.0327078999999999</v>
      </c>
      <c r="E3273" s="1">
        <v>0.39344263000000002</v>
      </c>
      <c r="F3273" s="2">
        <v>0.54635389999999995</v>
      </c>
    </row>
    <row r="3274" spans="1:6" x14ac:dyDescent="0.25">
      <c r="A3274" t="s">
        <v>6</v>
      </c>
      <c r="B3274" s="5" t="str">
        <f>HYPERLINK("http://www.broadinstitute.org/gsea/msigdb/cards/GOBP_REGULATION_OF_LONG_TERM_SYNAPTIC_POTENTIATION.html","GOBP_REGULATION_OF_LONG_TERM_SYNAPTIC_POTENTIATION")</f>
        <v>GOBP_REGULATION_OF_LONG_TERM_SYNAPTIC_POTENTIATION</v>
      </c>
      <c r="C3274" s="4">
        <v>58</v>
      </c>
      <c r="D3274" s="3">
        <v>1.0320832</v>
      </c>
      <c r="E3274" s="1">
        <v>0.38759690000000002</v>
      </c>
      <c r="F3274" s="2">
        <v>0.54766420000000005</v>
      </c>
    </row>
    <row r="3275" spans="1:6" x14ac:dyDescent="0.25">
      <c r="A3275" t="s">
        <v>6</v>
      </c>
      <c r="B3275" s="5" t="str">
        <f>HYPERLINK("http://www.broadinstitute.org/gsea/msigdb/cards/GOBP_NEGATIVE_REGULATION_OF_ERBB_SIGNALING_PATHWAY.html","GOBP_NEGATIVE_REGULATION_OF_ERBB_SIGNALING_PATHWAY")</f>
        <v>GOBP_NEGATIVE_REGULATION_OF_ERBB_SIGNALING_PATHWAY</v>
      </c>
      <c r="C3275" s="4">
        <v>32</v>
      </c>
      <c r="D3275" s="3">
        <v>1.0318824</v>
      </c>
      <c r="E3275" s="1">
        <v>0.39600664000000002</v>
      </c>
      <c r="F3275" s="2">
        <v>0.54797399999999996</v>
      </c>
    </row>
    <row r="3276" spans="1:6" x14ac:dyDescent="0.25">
      <c r="A3276" t="s">
        <v>8</v>
      </c>
      <c r="B3276" s="5" t="str">
        <f>HYPERLINK("http://www.broadinstitute.org/gsea/msigdb/cards/GOMF_HYDROLASE_ACTIVITY_ACTING_ON_CARBON_NITROGEN_BUT_NOT_PEPTIDE_BONDS_IN_LINEAR_AMIDES.html","GOMF_HYDROLASE_ACTIVITY_ACTING_ON_CARBON_NITROGEN_BUT_NOT_PEPTIDE_BONDS_IN_LINEAR_AMIDES")</f>
        <v>GOMF_HYDROLASE_ACTIVITY_ACTING_ON_CARBON_NITROGEN_BUT_NOT_PEPTIDE_BONDS_IN_LINEAR_AMIDES</v>
      </c>
      <c r="C3276" s="4">
        <v>75</v>
      </c>
      <c r="D3276" s="3">
        <v>1.0317585</v>
      </c>
      <c r="E3276" s="1">
        <v>0.40182646999999999</v>
      </c>
      <c r="F3276" s="2">
        <v>0.54807967000000002</v>
      </c>
    </row>
    <row r="3277" spans="1:6" x14ac:dyDescent="0.25">
      <c r="A3277" t="s">
        <v>7</v>
      </c>
      <c r="B3277" s="5" t="str">
        <f>HYPERLINK("http://www.broadinstitute.org/gsea/msigdb/cards/GOCC_RNA_CAP_BINDING_COMPLEX.html","GOCC_RNA_CAP_BINDING_COMPLEX")</f>
        <v>GOCC_RNA_CAP_BINDING_COMPLEX</v>
      </c>
      <c r="C3277" s="4">
        <v>19</v>
      </c>
      <c r="D3277" s="3">
        <v>1.0315597000000001</v>
      </c>
      <c r="E3277" s="1">
        <v>0.39863715</v>
      </c>
      <c r="F3277" s="2">
        <v>0.54838324000000005</v>
      </c>
    </row>
    <row r="3278" spans="1:6" x14ac:dyDescent="0.25">
      <c r="A3278" t="s">
        <v>10</v>
      </c>
      <c r="B3278" s="5" t="str">
        <f>HYPERLINK("http://www.broadinstitute.org/gsea/msigdb/cards/REACTOME_METABOLISM_OF_PORPHYRINS.html","REACTOME_METABOLISM_OF_PORPHYRINS")</f>
        <v>REACTOME_METABOLISM_OF_PORPHYRINS</v>
      </c>
      <c r="C3278" s="4">
        <v>30</v>
      </c>
      <c r="D3278" s="3">
        <v>1.0311834</v>
      </c>
      <c r="E3278" s="1">
        <v>0.40206185</v>
      </c>
      <c r="F3278" s="2">
        <v>0.54910309999999996</v>
      </c>
    </row>
    <row r="3279" spans="1:6" x14ac:dyDescent="0.25">
      <c r="A3279" t="s">
        <v>6</v>
      </c>
      <c r="B3279" s="5" t="str">
        <f>HYPERLINK("http://www.broadinstitute.org/gsea/msigdb/cards/GOBP_CELLULAR_ALDEHYDE_METABOLIC_PROCESS.html","GOBP_CELLULAR_ALDEHYDE_METABOLIC_PROCESS")</f>
        <v>GOBP_CELLULAR_ALDEHYDE_METABOLIC_PROCESS</v>
      </c>
      <c r="C3279" s="4">
        <v>78</v>
      </c>
      <c r="D3279" s="3">
        <v>1.0307808000000001</v>
      </c>
      <c r="E3279" s="1">
        <v>0.3971519</v>
      </c>
      <c r="F3279" s="2">
        <v>0.54990090000000003</v>
      </c>
    </row>
    <row r="3280" spans="1:6" x14ac:dyDescent="0.25">
      <c r="A3280" t="s">
        <v>6</v>
      </c>
      <c r="B3280" s="5" t="str">
        <f>HYPERLINK("http://www.broadinstitute.org/gsea/msigdb/cards/GOBP_CHONDROCYTE_DEVELOPMENT.html","GOBP_CHONDROCYTE_DEVELOPMENT")</f>
        <v>GOBP_CHONDROCYTE_DEVELOPMENT</v>
      </c>
      <c r="C3280" s="4">
        <v>34</v>
      </c>
      <c r="D3280" s="3">
        <v>1.0306379000000001</v>
      </c>
      <c r="E3280" s="1">
        <v>0.40134906999999997</v>
      </c>
      <c r="F3280" s="2">
        <v>0.55008345999999997</v>
      </c>
    </row>
    <row r="3281" spans="1:6" x14ac:dyDescent="0.25">
      <c r="A3281" t="s">
        <v>6</v>
      </c>
      <c r="B3281" s="5" t="str">
        <f>HYPERLINK("http://www.broadinstitute.org/gsea/msigdb/cards/GOBP_NUCLEAR_TRANSPORT.html","GOBP_NUCLEAR_TRANSPORT")</f>
        <v>GOBP_NUCLEAR_TRANSPORT</v>
      </c>
      <c r="C3281" s="4">
        <v>340</v>
      </c>
      <c r="D3281" s="3">
        <v>1.0301910000000001</v>
      </c>
      <c r="E3281" s="1">
        <v>0.3780965</v>
      </c>
      <c r="F3281" s="2">
        <v>0.55097246</v>
      </c>
    </row>
    <row r="3282" spans="1:6" x14ac:dyDescent="0.25">
      <c r="A3282" t="s">
        <v>6</v>
      </c>
      <c r="B3282" s="5" t="str">
        <f>HYPERLINK("http://www.broadinstitute.org/gsea/msigdb/cards/GOBP_POSITIVE_REGULATION_OF_NEURAL_PRECURSOR_CELL_PROLIFERATION.html","GOBP_POSITIVE_REGULATION_OF_NEURAL_PRECURSOR_CELL_PROLIFERATION")</f>
        <v>GOBP_POSITIVE_REGULATION_OF_NEURAL_PRECURSOR_CELL_PROLIFERATION</v>
      </c>
      <c r="C3282" s="4">
        <v>81</v>
      </c>
      <c r="D3282" s="3">
        <v>1.0290455000000001</v>
      </c>
      <c r="E3282" s="1">
        <v>0.39165329999999998</v>
      </c>
      <c r="F3282" s="2">
        <v>0.55354415999999995</v>
      </c>
    </row>
    <row r="3283" spans="1:6" x14ac:dyDescent="0.25">
      <c r="A3283" t="s">
        <v>7</v>
      </c>
      <c r="B3283" s="5" t="str">
        <f>HYPERLINK("http://www.broadinstitute.org/gsea/msigdb/cards/GOCC_CLATHRIN_COAT_OF_TRANS_GOLGI_NETWORK_VESICLE.html","GOCC_CLATHRIN_COAT_OF_TRANS_GOLGI_NETWORK_VESICLE")</f>
        <v>GOCC_CLATHRIN_COAT_OF_TRANS_GOLGI_NETWORK_VESICLE</v>
      </c>
      <c r="C3283" s="4">
        <v>15</v>
      </c>
      <c r="D3283" s="3">
        <v>1.0290049999999999</v>
      </c>
      <c r="E3283" s="1">
        <v>0.43063062000000002</v>
      </c>
      <c r="F3283" s="2">
        <v>0.55347573999999999</v>
      </c>
    </row>
    <row r="3284" spans="1:6" x14ac:dyDescent="0.25">
      <c r="A3284" t="s">
        <v>6</v>
      </c>
      <c r="B3284" s="5" t="str">
        <f>HYPERLINK("http://www.broadinstitute.org/gsea/msigdb/cards/GOBP_REGULATION_OF_VESICLE_SIZE.html","GOBP_REGULATION_OF_VESICLE_SIZE")</f>
        <v>GOBP_REGULATION_OF_VESICLE_SIZE</v>
      </c>
      <c r="C3284" s="4">
        <v>20</v>
      </c>
      <c r="D3284" s="3">
        <v>1.0285443000000001</v>
      </c>
      <c r="E3284" s="1">
        <v>0.42857142999999998</v>
      </c>
      <c r="F3284" s="2">
        <v>0.55442005000000005</v>
      </c>
    </row>
    <row r="3285" spans="1:6" x14ac:dyDescent="0.25">
      <c r="A3285" t="s">
        <v>10</v>
      </c>
      <c r="B3285" s="5" t="str">
        <f>HYPERLINK("http://www.broadinstitute.org/gsea/msigdb/cards/REACTOME_RHOJ_GTPASE_CYCLE.html","REACTOME_RHOJ_GTPASE_CYCLE")</f>
        <v>REACTOME_RHOJ_GTPASE_CYCLE</v>
      </c>
      <c r="C3285" s="4">
        <v>16</v>
      </c>
      <c r="D3285" s="3">
        <v>1.0284088</v>
      </c>
      <c r="E3285" s="1">
        <v>0.42546064</v>
      </c>
      <c r="F3285" s="2">
        <v>0.55459093999999998</v>
      </c>
    </row>
    <row r="3286" spans="1:6" x14ac:dyDescent="0.25">
      <c r="A3286" t="s">
        <v>7</v>
      </c>
      <c r="B3286" s="5" t="str">
        <f>HYPERLINK("http://www.broadinstitute.org/gsea/msigdb/cards/GOCC_CELL_DIVISION_SITE.html","GOCC_CELL_DIVISION_SITE")</f>
        <v>GOCC_CELL_DIVISION_SITE</v>
      </c>
      <c r="C3286" s="4">
        <v>59</v>
      </c>
      <c r="D3286" s="3">
        <v>1.0278214999999999</v>
      </c>
      <c r="E3286" s="1">
        <v>0.42496050000000002</v>
      </c>
      <c r="F3286" s="2">
        <v>0.55582810000000005</v>
      </c>
    </row>
    <row r="3287" spans="1:6" x14ac:dyDescent="0.25">
      <c r="A3287" t="s">
        <v>11</v>
      </c>
      <c r="B3287" s="5" t="str">
        <f>HYPERLINK("http://www.broadinstitute.org/gsea/msigdb/cards/WP_ENDOCHONDRAL_OSSIFICATION.html","WP_ENDOCHONDRAL_OSSIFICATION")</f>
        <v>WP_ENDOCHONDRAL_OSSIFICATION</v>
      </c>
      <c r="C3287" s="4">
        <v>59</v>
      </c>
      <c r="D3287" s="3">
        <v>1.0277141000000001</v>
      </c>
      <c r="E3287" s="1">
        <v>0.40325203999999998</v>
      </c>
      <c r="F3287" s="2">
        <v>0.55591369999999996</v>
      </c>
    </row>
    <row r="3288" spans="1:6" x14ac:dyDescent="0.25">
      <c r="A3288" t="s">
        <v>10</v>
      </c>
      <c r="B3288" s="5" t="str">
        <f>HYPERLINK("http://www.broadinstitute.org/gsea/msigdb/cards/REACTOME_DOWNREGULATION_OF_TGF_BETA_RECEPTOR_SIGNALING.html","REACTOME_DOWNREGULATION_OF_TGF_BETA_RECEPTOR_SIGNALING")</f>
        <v>REACTOME_DOWNREGULATION_OF_TGF_BETA_RECEPTOR_SIGNALING</v>
      </c>
      <c r="C3288" s="4">
        <v>16</v>
      </c>
      <c r="D3288" s="3">
        <v>1.0274053000000001</v>
      </c>
      <c r="E3288" s="1">
        <v>0.418018</v>
      </c>
      <c r="F3288" s="2">
        <v>0.55646929999999994</v>
      </c>
    </row>
    <row r="3289" spans="1:6" x14ac:dyDescent="0.25">
      <c r="A3289" t="s">
        <v>6</v>
      </c>
      <c r="B3289" s="5" t="str">
        <f>HYPERLINK("http://www.broadinstitute.org/gsea/msigdb/cards/GOBP_GLUCOSE_METABOLIC_PROCESS.html","GOBP_GLUCOSE_METABOLIC_PROCESS")</f>
        <v>GOBP_GLUCOSE_METABOLIC_PROCESS</v>
      </c>
      <c r="C3289" s="4">
        <v>207</v>
      </c>
      <c r="D3289" s="3">
        <v>1.0273169</v>
      </c>
      <c r="E3289" s="1">
        <v>0.36995827999999997</v>
      </c>
      <c r="F3289" s="2">
        <v>0.55650734999999996</v>
      </c>
    </row>
    <row r="3290" spans="1:6" x14ac:dyDescent="0.25">
      <c r="A3290" t="s">
        <v>6</v>
      </c>
      <c r="B3290" s="5" t="str">
        <f>HYPERLINK("http://www.broadinstitute.org/gsea/msigdb/cards/GOBP_GLYCEROLIPID_METABOLIC_PROCESS.html","GOBP_GLYCEROLIPID_METABOLIC_PROCESS")</f>
        <v>GOBP_GLYCEROLIPID_METABOLIC_PROCESS</v>
      </c>
      <c r="C3290" s="4">
        <v>373</v>
      </c>
      <c r="D3290" s="3">
        <v>1.0269763000000001</v>
      </c>
      <c r="E3290" s="1">
        <v>0.38308457000000001</v>
      </c>
      <c r="F3290" s="2">
        <v>0.55715870000000001</v>
      </c>
    </row>
    <row r="3291" spans="1:6" x14ac:dyDescent="0.25">
      <c r="A3291" t="s">
        <v>6</v>
      </c>
      <c r="B3291" s="5" t="str">
        <f>HYPERLINK("http://www.broadinstitute.org/gsea/msigdb/cards/GOBP_INTESTINAL_LIPID_ABSORPTION.html","GOBP_INTESTINAL_LIPID_ABSORPTION")</f>
        <v>GOBP_INTESTINAL_LIPID_ABSORPTION</v>
      </c>
      <c r="C3291" s="4">
        <v>22</v>
      </c>
      <c r="D3291" s="3">
        <v>1.0269097</v>
      </c>
      <c r="E3291" s="1">
        <v>0.41471570000000002</v>
      </c>
      <c r="F3291" s="2">
        <v>0.55715745999999999</v>
      </c>
    </row>
    <row r="3292" spans="1:6" x14ac:dyDescent="0.25">
      <c r="A3292" t="s">
        <v>6</v>
      </c>
      <c r="B3292" s="5" t="str">
        <f>HYPERLINK("http://www.broadinstitute.org/gsea/msigdb/cards/GOBP_REGULATION_OF_NEURON_MIGRATION.html","GOBP_REGULATION_OF_NEURON_MIGRATION")</f>
        <v>GOBP_REGULATION_OF_NEURON_MIGRATION</v>
      </c>
      <c r="C3292" s="4">
        <v>58</v>
      </c>
      <c r="D3292" s="3">
        <v>1.0264844</v>
      </c>
      <c r="E3292" s="1">
        <v>0.39448053</v>
      </c>
      <c r="F3292" s="2">
        <v>0.55797403999999995</v>
      </c>
    </row>
    <row r="3293" spans="1:6" x14ac:dyDescent="0.25">
      <c r="A3293" t="s">
        <v>6</v>
      </c>
      <c r="B3293" s="5" t="str">
        <f>HYPERLINK("http://www.broadinstitute.org/gsea/msigdb/cards/GOBP_CARDIAC_CONDUCTION.html","GOBP_CARDIAC_CONDUCTION")</f>
        <v>GOBP_CARDIAC_CONDUCTION</v>
      </c>
      <c r="C3293" s="4">
        <v>64</v>
      </c>
      <c r="D3293" s="3">
        <v>1.0260137</v>
      </c>
      <c r="E3293" s="1">
        <v>0.39646870000000001</v>
      </c>
      <c r="F3293" s="2">
        <v>0.55889960000000005</v>
      </c>
    </row>
    <row r="3294" spans="1:6" x14ac:dyDescent="0.25">
      <c r="A3294" t="s">
        <v>8</v>
      </c>
      <c r="B3294" s="5" t="str">
        <f>HYPERLINK("http://www.broadinstitute.org/gsea/msigdb/cards/GOMF_PROTEIN_FOLDING_CHAPERONE_BINDING.html","GOMF_PROTEIN_FOLDING_CHAPERONE_BINDING")</f>
        <v>GOMF_PROTEIN_FOLDING_CHAPERONE_BINDING</v>
      </c>
      <c r="C3294" s="4">
        <v>147</v>
      </c>
      <c r="D3294" s="3">
        <v>1.0259381999999999</v>
      </c>
      <c r="E3294" s="1">
        <v>0.39854013999999999</v>
      </c>
      <c r="F3294" s="2">
        <v>0.55890470000000003</v>
      </c>
    </row>
    <row r="3295" spans="1:6" x14ac:dyDescent="0.25">
      <c r="A3295" t="s">
        <v>6</v>
      </c>
      <c r="B3295" s="5" t="str">
        <f>HYPERLINK("http://www.broadinstitute.org/gsea/msigdb/cards/GOBP_COCHLEA_DEVELOPMENT.html","GOBP_COCHLEA_DEVELOPMENT")</f>
        <v>GOBP_COCHLEA_DEVELOPMENT</v>
      </c>
      <c r="C3295" s="4">
        <v>50</v>
      </c>
      <c r="D3295" s="3">
        <v>1.0256962999999999</v>
      </c>
      <c r="E3295" s="1">
        <v>0.38935107000000002</v>
      </c>
      <c r="F3295" s="2">
        <v>0.55933094000000005</v>
      </c>
    </row>
    <row r="3296" spans="1:6" x14ac:dyDescent="0.25">
      <c r="A3296" t="s">
        <v>11</v>
      </c>
      <c r="B3296" s="5" t="str">
        <f>HYPERLINK("http://www.broadinstitute.org/gsea/msigdb/cards/WP_ADIPOGENESIS_GENES.html","WP_ADIPOGENESIS_GENES")</f>
        <v>WP_ADIPOGENESIS_GENES</v>
      </c>
      <c r="C3296" s="4">
        <v>130</v>
      </c>
      <c r="D3296" s="3">
        <v>1.0256928000000001</v>
      </c>
      <c r="E3296" s="1">
        <v>0.4108984</v>
      </c>
      <c r="F3296" s="2">
        <v>0.55916726999999999</v>
      </c>
    </row>
    <row r="3297" spans="1:6" x14ac:dyDescent="0.25">
      <c r="A3297" t="s">
        <v>6</v>
      </c>
      <c r="B3297" s="5" t="str">
        <f>HYPERLINK("http://www.broadinstitute.org/gsea/msigdb/cards/GOBP_REGULATION_OF_CARBOHYDRATE_CATABOLIC_PROCESS.html","GOBP_REGULATION_OF_CARBOHYDRATE_CATABOLIC_PROCESS")</f>
        <v>GOBP_REGULATION_OF_CARBOHYDRATE_CATABOLIC_PROCESS</v>
      </c>
      <c r="C3297" s="4">
        <v>68</v>
      </c>
      <c r="D3297" s="3">
        <v>1.0252167999999999</v>
      </c>
      <c r="E3297" s="1">
        <v>0.40872374</v>
      </c>
      <c r="F3297" s="2">
        <v>0.56013000000000002</v>
      </c>
    </row>
    <row r="3298" spans="1:6" x14ac:dyDescent="0.25">
      <c r="A3298" t="s">
        <v>6</v>
      </c>
      <c r="B3298" s="5" t="str">
        <f>HYPERLINK("http://www.broadinstitute.org/gsea/msigdb/cards/GOBP_PHOSPHATE_ION_HOMEOSTASIS.html","GOBP_PHOSPHATE_ION_HOMEOSTASIS")</f>
        <v>GOBP_PHOSPHATE_ION_HOMEOSTASIS</v>
      </c>
      <c r="C3298" s="4">
        <v>21</v>
      </c>
      <c r="D3298" s="3">
        <v>1.0251751</v>
      </c>
      <c r="E3298" s="1">
        <v>0.41137122999999998</v>
      </c>
      <c r="F3298" s="2">
        <v>0.56005689999999997</v>
      </c>
    </row>
    <row r="3299" spans="1:6" x14ac:dyDescent="0.25">
      <c r="A3299" t="s">
        <v>10</v>
      </c>
      <c r="B3299" s="5" t="str">
        <f>HYPERLINK("http://www.broadinstitute.org/gsea/msigdb/cards/REACTOME_INTERCONVERSION_OF_NUCLEOTIDE_DI_AND_TRIPHOSPHATES.html","REACTOME_INTERCONVERSION_OF_NUCLEOTIDE_DI_AND_TRIPHOSPHATES")</f>
        <v>REACTOME_INTERCONVERSION_OF_NUCLEOTIDE_DI_AND_TRIPHOSPHATES</v>
      </c>
      <c r="C3299" s="4">
        <v>27</v>
      </c>
      <c r="D3299" s="3">
        <v>1.0250311999999999</v>
      </c>
      <c r="E3299" s="1">
        <v>0.40691927</v>
      </c>
      <c r="F3299" s="2">
        <v>0.56022879999999997</v>
      </c>
    </row>
    <row r="3300" spans="1:6" x14ac:dyDescent="0.25">
      <c r="A3300" t="s">
        <v>7</v>
      </c>
      <c r="B3300" s="5" t="str">
        <f>HYPERLINK("http://www.broadinstitute.org/gsea/msigdb/cards/GOCC_DENSE_CORE_GRANULE.html","GOCC_DENSE_CORE_GRANULE")</f>
        <v>GOCC_DENSE_CORE_GRANULE</v>
      </c>
      <c r="C3300" s="4">
        <v>53</v>
      </c>
      <c r="D3300" s="3">
        <v>1.0247687000000001</v>
      </c>
      <c r="E3300" s="1">
        <v>0.40128409999999998</v>
      </c>
      <c r="F3300" s="2">
        <v>0.5606641</v>
      </c>
    </row>
    <row r="3301" spans="1:6" x14ac:dyDescent="0.25">
      <c r="A3301" t="s">
        <v>6</v>
      </c>
      <c r="B3301" s="5" t="str">
        <f>HYPERLINK("http://www.broadinstitute.org/gsea/msigdb/cards/GOBP_MIRNA_METABOLIC_PROCESS.html","GOBP_MIRNA_METABOLIC_PROCESS")</f>
        <v>GOBP_MIRNA_METABOLIC_PROCESS</v>
      </c>
      <c r="C3301" s="4">
        <v>98</v>
      </c>
      <c r="D3301" s="3">
        <v>1.0243028000000001</v>
      </c>
      <c r="E3301" s="1">
        <v>0.40153845999999999</v>
      </c>
      <c r="F3301" s="2">
        <v>0.56159460000000005</v>
      </c>
    </row>
    <row r="3302" spans="1:6" x14ac:dyDescent="0.25">
      <c r="A3302" t="s">
        <v>6</v>
      </c>
      <c r="B3302" s="5" t="str">
        <f>HYPERLINK("http://www.broadinstitute.org/gsea/msigdb/cards/GOBP_POSITIVE_REGULATION_OF_ORGANELLE_ASSEMBLY.html","GOBP_POSITIVE_REGULATION_OF_ORGANELLE_ASSEMBLY")</f>
        <v>GOBP_POSITIVE_REGULATION_OF_ORGANELLE_ASSEMBLY</v>
      </c>
      <c r="C3302" s="4">
        <v>87</v>
      </c>
      <c r="D3302" s="3">
        <v>1.0241290000000001</v>
      </c>
      <c r="E3302" s="1">
        <v>0.41548183999999999</v>
      </c>
      <c r="F3302" s="2">
        <v>0.56182593000000003</v>
      </c>
    </row>
    <row r="3303" spans="1:6" x14ac:dyDescent="0.25">
      <c r="A3303" t="s">
        <v>9</v>
      </c>
      <c r="B3303" s="5" t="str">
        <f>HYPERLINK("http://www.broadinstitute.org/gsea/msigdb/cards/HALLMARK_FATTY_ACID_METABOLISM.html","HALLMARK_FATTY_ACID_METABOLISM")</f>
        <v>HALLMARK_FATTY_ACID_METABOLISM</v>
      </c>
      <c r="C3303" s="4">
        <v>153</v>
      </c>
      <c r="D3303" s="3">
        <v>1.0238693000000001</v>
      </c>
      <c r="E3303" s="1">
        <v>0.38179147000000002</v>
      </c>
      <c r="F3303" s="2">
        <v>0.56227475000000005</v>
      </c>
    </row>
    <row r="3304" spans="1:6" x14ac:dyDescent="0.25">
      <c r="A3304" t="s">
        <v>6</v>
      </c>
      <c r="B3304" s="5" t="str">
        <f>HYPERLINK("http://www.broadinstitute.org/gsea/msigdb/cards/GOBP_POSITIVE_REGULATION_OF_POST_TRANSLATIONAL_PROTEIN_MODIFICATION.html","GOBP_POSITIVE_REGULATION_OF_POST_TRANSLATIONAL_PROTEIN_MODIFICATION")</f>
        <v>GOBP_POSITIVE_REGULATION_OF_POST_TRANSLATIONAL_PROTEIN_MODIFICATION</v>
      </c>
      <c r="C3304" s="4">
        <v>174</v>
      </c>
      <c r="D3304" s="3">
        <v>1.0233175999999999</v>
      </c>
      <c r="E3304" s="1">
        <v>0.39748955000000002</v>
      </c>
      <c r="F3304" s="2">
        <v>0.56344587000000002</v>
      </c>
    </row>
    <row r="3305" spans="1:6" x14ac:dyDescent="0.25">
      <c r="A3305" t="s">
        <v>6</v>
      </c>
      <c r="B3305" s="5" t="str">
        <f>HYPERLINK("http://www.broadinstitute.org/gsea/msigdb/cards/GOBP_REGULATION_OF_NOTCH_SIGNALING_PATHWAY.html","GOBP_REGULATION_OF_NOTCH_SIGNALING_PATHWAY")</f>
        <v>GOBP_REGULATION_OF_NOTCH_SIGNALING_PATHWAY</v>
      </c>
      <c r="C3305" s="4">
        <v>91</v>
      </c>
      <c r="D3305" s="3">
        <v>1.0229675</v>
      </c>
      <c r="E3305" s="1">
        <v>0.41257667999999997</v>
      </c>
      <c r="F3305" s="2">
        <v>0.56411076000000004</v>
      </c>
    </row>
    <row r="3306" spans="1:6" x14ac:dyDescent="0.25">
      <c r="A3306" t="s">
        <v>6</v>
      </c>
      <c r="B3306" s="5" t="str">
        <f>HYPERLINK("http://www.broadinstitute.org/gsea/msigdb/cards/GOBP_REGULATION_OF_GLIAL_CELL_APOPTOTIC_PROCESS.html","GOBP_REGULATION_OF_GLIAL_CELL_APOPTOTIC_PROCESS")</f>
        <v>GOBP_REGULATION_OF_GLIAL_CELL_APOPTOTIC_PROCESS</v>
      </c>
      <c r="C3306" s="4">
        <v>15</v>
      </c>
      <c r="D3306" s="3">
        <v>1.0221689</v>
      </c>
      <c r="E3306" s="1">
        <v>0.42955326999999999</v>
      </c>
      <c r="F3306" s="2">
        <v>0.56586546000000004</v>
      </c>
    </row>
    <row r="3307" spans="1:6" x14ac:dyDescent="0.25">
      <c r="A3307" t="s">
        <v>8</v>
      </c>
      <c r="B3307" s="5" t="str">
        <f>HYPERLINK("http://www.broadinstitute.org/gsea/msigdb/cards/GOMF_PEPTIDE_RECEPTOR_ACTIVITY.html","GOMF_PEPTIDE_RECEPTOR_ACTIVITY")</f>
        <v>GOMF_PEPTIDE_RECEPTOR_ACTIVITY</v>
      </c>
      <c r="C3307" s="4">
        <v>120</v>
      </c>
      <c r="D3307" s="3">
        <v>1.0221340999999999</v>
      </c>
      <c r="E3307" s="1">
        <v>0.39807382000000002</v>
      </c>
      <c r="F3307" s="2">
        <v>0.56578850000000003</v>
      </c>
    </row>
    <row r="3308" spans="1:6" x14ac:dyDescent="0.25">
      <c r="A3308" t="s">
        <v>6</v>
      </c>
      <c r="B3308" s="5" t="str">
        <f>HYPERLINK("http://www.broadinstitute.org/gsea/msigdb/cards/GOBP_VESICLE_DOCKING.html","GOBP_VESICLE_DOCKING")</f>
        <v>GOBP_VESICLE_DOCKING</v>
      </c>
      <c r="C3308" s="4">
        <v>63</v>
      </c>
      <c r="D3308" s="3">
        <v>1.0220811000000001</v>
      </c>
      <c r="E3308" s="1">
        <v>0.43333334000000001</v>
      </c>
      <c r="F3308" s="2">
        <v>0.56573885999999995</v>
      </c>
    </row>
    <row r="3309" spans="1:6" x14ac:dyDescent="0.25">
      <c r="A3309" t="s">
        <v>6</v>
      </c>
      <c r="B3309" s="5" t="str">
        <f>HYPERLINK("http://www.broadinstitute.org/gsea/msigdb/cards/GOBP_MORPHOGENESIS_OF_AN_EPITHELIAL_FOLD.html","GOBP_MORPHOGENESIS_OF_AN_EPITHELIAL_FOLD")</f>
        <v>GOBP_MORPHOGENESIS_OF_AN_EPITHELIAL_FOLD</v>
      </c>
      <c r="C3309" s="4">
        <v>29</v>
      </c>
      <c r="D3309" s="3">
        <v>1.0220593</v>
      </c>
      <c r="E3309" s="1">
        <v>0.43006991999999999</v>
      </c>
      <c r="F3309" s="2">
        <v>0.56561289999999997</v>
      </c>
    </row>
    <row r="3310" spans="1:6" x14ac:dyDescent="0.25">
      <c r="A3310" t="s">
        <v>10</v>
      </c>
      <c r="B3310" s="5" t="str">
        <f>HYPERLINK("http://www.broadinstitute.org/gsea/msigdb/cards/REACTOME_PHOSPHOLIPID_METABOLISM.html","REACTOME_PHOSPHOLIPID_METABOLISM")</f>
        <v>REACTOME_PHOSPHOLIPID_METABOLISM</v>
      </c>
      <c r="C3310" s="4">
        <v>188</v>
      </c>
      <c r="D3310" s="3">
        <v>1.0220092999999999</v>
      </c>
      <c r="E3310" s="1">
        <v>0.40398294000000001</v>
      </c>
      <c r="F3310" s="2">
        <v>0.56555515999999995</v>
      </c>
    </row>
    <row r="3311" spans="1:6" x14ac:dyDescent="0.25">
      <c r="A3311" t="s">
        <v>6</v>
      </c>
      <c r="B3311" s="5" t="str">
        <f>HYPERLINK("http://www.broadinstitute.org/gsea/msigdb/cards/GOBP_POSITIVE_REGULATION_OF_MITOTIC_NUCLEAR_DIVISION.html","GOBP_POSITIVE_REGULATION_OF_MITOTIC_NUCLEAR_DIVISION")</f>
        <v>GOBP_POSITIVE_REGULATION_OF_MITOTIC_NUCLEAR_DIVISION</v>
      </c>
      <c r="C3311" s="4">
        <v>43</v>
      </c>
      <c r="D3311" s="3">
        <v>1.0217181</v>
      </c>
      <c r="E3311" s="1">
        <v>0.41071429999999998</v>
      </c>
      <c r="F3311" s="2">
        <v>0.56606000000000001</v>
      </c>
    </row>
    <row r="3312" spans="1:6" x14ac:dyDescent="0.25">
      <c r="A3312" t="s">
        <v>6</v>
      </c>
      <c r="B3312" s="5" t="str">
        <f>HYPERLINK("http://www.broadinstitute.org/gsea/msigdb/cards/GOBP_NEGATIVE_REGULATION_OF_MIRNA_METABOLIC_PROCESS.html","GOBP_NEGATIVE_REGULATION_OF_MIRNA_METABOLIC_PROCESS")</f>
        <v>GOBP_NEGATIVE_REGULATION_OF_MIRNA_METABOLIC_PROCESS</v>
      </c>
      <c r="C3312" s="4">
        <v>31</v>
      </c>
      <c r="D3312" s="3">
        <v>1.021539</v>
      </c>
      <c r="E3312" s="1">
        <v>0.43055555000000001</v>
      </c>
      <c r="F3312" s="2">
        <v>0.56633610000000001</v>
      </c>
    </row>
    <row r="3313" spans="1:6" x14ac:dyDescent="0.25">
      <c r="A3313" t="s">
        <v>6</v>
      </c>
      <c r="B3313" s="5" t="str">
        <f>HYPERLINK("http://www.broadinstitute.org/gsea/msigdb/cards/GOBP_MEMORY.html","GOBP_MEMORY")</f>
        <v>GOBP_MEMORY</v>
      </c>
      <c r="C3313" s="4">
        <v>163</v>
      </c>
      <c r="D3313" s="3">
        <v>1.0215380000000001</v>
      </c>
      <c r="E3313" s="1">
        <v>0.40114613999999998</v>
      </c>
      <c r="F3313" s="2">
        <v>0.56616694000000001</v>
      </c>
    </row>
    <row r="3314" spans="1:6" x14ac:dyDescent="0.25">
      <c r="A3314" t="s">
        <v>7</v>
      </c>
      <c r="B3314" s="5" t="str">
        <f>HYPERLINK("http://www.broadinstitute.org/gsea/msigdb/cards/GOCC_CLATHRIN_COATED_ENDOCYTIC_VESICLE.html","GOCC_CLATHRIN_COATED_ENDOCYTIC_VESICLE")</f>
        <v>GOCC_CLATHRIN_COATED_ENDOCYTIC_VESICLE</v>
      </c>
      <c r="C3314" s="4">
        <v>27</v>
      </c>
      <c r="D3314" s="3">
        <v>1.0211570999999999</v>
      </c>
      <c r="E3314" s="1">
        <v>0.41860463999999997</v>
      </c>
      <c r="F3314" s="2">
        <v>0.56689036000000004</v>
      </c>
    </row>
    <row r="3315" spans="1:6" x14ac:dyDescent="0.25">
      <c r="A3315" t="s">
        <v>6</v>
      </c>
      <c r="B3315" s="5" t="str">
        <f>HYPERLINK("http://www.broadinstitute.org/gsea/msigdb/cards/GOBP_POSITIVE_REGULATION_OF_MITOCHONDRION_ORGANIZATION.html","GOBP_POSITIVE_REGULATION_OF_MITOCHONDRION_ORGANIZATION")</f>
        <v>GOBP_POSITIVE_REGULATION_OF_MITOCHONDRION_ORGANIZATION</v>
      </c>
      <c r="C3315" s="4">
        <v>77</v>
      </c>
      <c r="D3315" s="3">
        <v>1.0210102000000001</v>
      </c>
      <c r="E3315" s="1">
        <v>0.40214067999999997</v>
      </c>
      <c r="F3315" s="2">
        <v>0.56708974000000001</v>
      </c>
    </row>
    <row r="3316" spans="1:6" x14ac:dyDescent="0.25">
      <c r="A3316" t="s">
        <v>6</v>
      </c>
      <c r="B3316" s="5" t="str">
        <f>HYPERLINK("http://www.broadinstitute.org/gsea/msigdb/cards/GOBP_PROTEIN_CONTAINING_COMPLEX_DISASSEMBLY.html","GOBP_PROTEIN_CONTAINING_COMPLEX_DISASSEMBLY")</f>
        <v>GOBP_PROTEIN_CONTAINING_COMPLEX_DISASSEMBLY</v>
      </c>
      <c r="C3316" s="4">
        <v>243</v>
      </c>
      <c r="D3316" s="3">
        <v>1.0209948</v>
      </c>
      <c r="E3316" s="1">
        <v>0.39130433999999997</v>
      </c>
      <c r="F3316" s="2">
        <v>0.56695629999999997</v>
      </c>
    </row>
    <row r="3317" spans="1:6" x14ac:dyDescent="0.25">
      <c r="A3317" t="s">
        <v>6</v>
      </c>
      <c r="B3317" s="5" t="str">
        <f>HYPERLINK("http://www.broadinstitute.org/gsea/msigdb/cards/GOBP_REGULATION_OF_CATION_CHANNEL_ACTIVITY.html","GOBP_REGULATION_OF_CATION_CHANNEL_ACTIVITY")</f>
        <v>GOBP_REGULATION_OF_CATION_CHANNEL_ACTIVITY</v>
      </c>
      <c r="C3317" s="4">
        <v>143</v>
      </c>
      <c r="D3317" s="3">
        <v>1.0201654</v>
      </c>
      <c r="E3317" s="1">
        <v>0.39589444000000001</v>
      </c>
      <c r="F3317" s="2">
        <v>0.56873183999999999</v>
      </c>
    </row>
    <row r="3318" spans="1:6" x14ac:dyDescent="0.25">
      <c r="A3318" t="s">
        <v>6</v>
      </c>
      <c r="B3318" s="5" t="str">
        <f>HYPERLINK("http://www.broadinstitute.org/gsea/msigdb/cards/GOBP_ESTABLISHMENT_OR_MAINTENANCE_OF_CELL_POLARITY.html","GOBP_ESTABLISHMENT_OR_MAINTENANCE_OF_CELL_POLARITY")</f>
        <v>GOBP_ESTABLISHMENT_OR_MAINTENANCE_OF_CELL_POLARITY</v>
      </c>
      <c r="C3318" s="4">
        <v>231</v>
      </c>
      <c r="D3318" s="3">
        <v>1.0201245999999999</v>
      </c>
      <c r="E3318" s="1">
        <v>0.40608465999999999</v>
      </c>
      <c r="F3318" s="2">
        <v>0.56866419999999995</v>
      </c>
    </row>
    <row r="3319" spans="1:6" x14ac:dyDescent="0.25">
      <c r="A3319" t="s">
        <v>8</v>
      </c>
      <c r="B3319" s="5" t="str">
        <f>HYPERLINK("http://www.broadinstitute.org/gsea/msigdb/cards/GOMF_NUCLEASE_ACTIVITY.html","GOMF_NUCLEASE_ACTIVITY")</f>
        <v>GOMF_NUCLEASE_ACTIVITY</v>
      </c>
      <c r="C3319" s="4">
        <v>193</v>
      </c>
      <c r="D3319" s="3">
        <v>1.0199355999999999</v>
      </c>
      <c r="E3319" s="1">
        <v>0.39803094</v>
      </c>
      <c r="F3319" s="2">
        <v>0.56893879999999997</v>
      </c>
    </row>
    <row r="3320" spans="1:6" x14ac:dyDescent="0.25">
      <c r="A3320" t="s">
        <v>6</v>
      </c>
      <c r="B3320" s="5" t="str">
        <f>HYPERLINK("http://www.broadinstitute.org/gsea/msigdb/cards/GOBP_CELL_CELL_JUNCTION_MAINTENANCE.html","GOBP_CELL_CELL_JUNCTION_MAINTENANCE")</f>
        <v>GOBP_CELL_CELL_JUNCTION_MAINTENANCE</v>
      </c>
      <c r="C3320" s="4">
        <v>21</v>
      </c>
      <c r="D3320" s="3">
        <v>1.0191842</v>
      </c>
      <c r="E3320" s="1">
        <v>0.41652894000000001</v>
      </c>
      <c r="F3320" s="2">
        <v>0.57060500000000003</v>
      </c>
    </row>
    <row r="3321" spans="1:6" x14ac:dyDescent="0.25">
      <c r="A3321" t="s">
        <v>6</v>
      </c>
      <c r="B3321" s="5" t="str">
        <f>HYPERLINK("http://www.broadinstitute.org/gsea/msigdb/cards/GOBP_REGULATION_OF_ANIMAL_ORGAN_MORPHOGENESIS.html","GOBP_REGULATION_OF_ANIMAL_ORGAN_MORPHOGENESIS")</f>
        <v>GOBP_REGULATION_OF_ANIMAL_ORGAN_MORPHOGENESIS</v>
      </c>
      <c r="C3321" s="4">
        <v>132</v>
      </c>
      <c r="D3321" s="3">
        <v>1.0191108</v>
      </c>
      <c r="E3321" s="1">
        <v>0.40723981999999997</v>
      </c>
      <c r="F3321" s="2">
        <v>0.57061709999999999</v>
      </c>
    </row>
    <row r="3322" spans="1:6" x14ac:dyDescent="0.25">
      <c r="A3322" t="s">
        <v>6</v>
      </c>
      <c r="B3322" s="5" t="str">
        <f>HYPERLINK("http://www.broadinstitute.org/gsea/msigdb/cards/GOBP_SPLEEN_DEVELOPMENT.html","GOBP_SPLEEN_DEVELOPMENT")</f>
        <v>GOBP_SPLEEN_DEVELOPMENT</v>
      </c>
      <c r="C3322" s="4">
        <v>46</v>
      </c>
      <c r="D3322" s="3">
        <v>1.0189226</v>
      </c>
      <c r="E3322" s="1">
        <v>0.4301413</v>
      </c>
      <c r="F3322" s="2">
        <v>0.57089290000000004</v>
      </c>
    </row>
    <row r="3323" spans="1:6" x14ac:dyDescent="0.25">
      <c r="A3323" t="s">
        <v>8</v>
      </c>
      <c r="B3323" s="5" t="str">
        <f>HYPERLINK("http://www.broadinstitute.org/gsea/msigdb/cards/GOMF_LIGAND_GATED_CALCIUM_CHANNEL_ACTIVITY.html","GOMF_LIGAND_GATED_CALCIUM_CHANNEL_ACTIVITY")</f>
        <v>GOMF_LIGAND_GATED_CALCIUM_CHANNEL_ACTIVITY</v>
      </c>
      <c r="C3323" s="4">
        <v>25</v>
      </c>
      <c r="D3323" s="3">
        <v>1.0188146</v>
      </c>
      <c r="E3323" s="1">
        <v>0.43464053000000002</v>
      </c>
      <c r="F3323" s="2">
        <v>0.57097655999999997</v>
      </c>
    </row>
    <row r="3324" spans="1:6" x14ac:dyDescent="0.25">
      <c r="A3324" t="s">
        <v>6</v>
      </c>
      <c r="B3324" s="5" t="str">
        <f>HYPERLINK("http://www.broadinstitute.org/gsea/msigdb/cards/GOBP_NOTCH_SIGNALING_PATHWAY.html","GOBP_NOTCH_SIGNALING_PATHWAY")</f>
        <v>GOBP_NOTCH_SIGNALING_PATHWAY</v>
      </c>
      <c r="C3324" s="4">
        <v>184</v>
      </c>
      <c r="D3324" s="3">
        <v>1.018545</v>
      </c>
      <c r="E3324" s="1">
        <v>0.41876750000000001</v>
      </c>
      <c r="F3324" s="2">
        <v>0.57146589999999997</v>
      </c>
    </row>
    <row r="3325" spans="1:6" x14ac:dyDescent="0.25">
      <c r="A3325" t="s">
        <v>6</v>
      </c>
      <c r="B3325" s="5" t="str">
        <f>HYPERLINK("http://www.broadinstitute.org/gsea/msigdb/cards/GOBP_CARDIAC_MUSCLE_CELL_ACTION_POTENTIAL.html","GOBP_CARDIAC_MUSCLE_CELL_ACTION_POTENTIAL")</f>
        <v>GOBP_CARDIAC_MUSCLE_CELL_ACTION_POTENTIAL</v>
      </c>
      <c r="C3325" s="4">
        <v>59</v>
      </c>
      <c r="D3325" s="3">
        <v>1.0184390000000001</v>
      </c>
      <c r="E3325" s="1">
        <v>0.41849530000000001</v>
      </c>
      <c r="F3325" s="2">
        <v>0.57153969999999998</v>
      </c>
    </row>
    <row r="3326" spans="1:6" x14ac:dyDescent="0.25">
      <c r="A3326" t="s">
        <v>6</v>
      </c>
      <c r="B3326" s="5" t="str">
        <f>HYPERLINK("http://www.broadinstitute.org/gsea/msigdb/cards/GOBP_DOPAMINE_SECRETION.html","GOBP_DOPAMINE_SECRETION")</f>
        <v>GOBP_DOPAMINE_SECRETION</v>
      </c>
      <c r="C3326" s="4">
        <v>46</v>
      </c>
      <c r="D3326" s="3">
        <v>1.0183365</v>
      </c>
      <c r="E3326" s="1">
        <v>0.41977310000000001</v>
      </c>
      <c r="F3326" s="2">
        <v>0.57159360000000003</v>
      </c>
    </row>
    <row r="3327" spans="1:6" x14ac:dyDescent="0.25">
      <c r="A3327" t="s">
        <v>6</v>
      </c>
      <c r="B3327" s="5" t="str">
        <f>HYPERLINK("http://www.broadinstitute.org/gsea/msigdb/cards/GOBP_REGULATION_OF_TRANSPORTER_ACTIVITY.html","GOBP_REGULATION_OF_TRANSPORTER_ACTIVITY")</f>
        <v>GOBP_REGULATION_OF_TRANSPORTER_ACTIVITY</v>
      </c>
      <c r="C3327" s="4">
        <v>300</v>
      </c>
      <c r="D3327" s="3">
        <v>1.0177628999999999</v>
      </c>
      <c r="E3327" s="1">
        <v>0.41064119999999998</v>
      </c>
      <c r="F3327" s="2">
        <v>0.57283353999999997</v>
      </c>
    </row>
    <row r="3328" spans="1:6" x14ac:dyDescent="0.25">
      <c r="A3328" t="s">
        <v>6</v>
      </c>
      <c r="B3328" s="5" t="str">
        <f>HYPERLINK("http://www.broadinstitute.org/gsea/msigdb/cards/GOBP_EPITHELIAL_CELL_MATURATION.html","GOBP_EPITHELIAL_CELL_MATURATION")</f>
        <v>GOBP_EPITHELIAL_CELL_MATURATION</v>
      </c>
      <c r="C3328" s="4">
        <v>27</v>
      </c>
      <c r="D3328" s="3">
        <v>1.0177206000000001</v>
      </c>
      <c r="E3328" s="1">
        <v>0.41638225000000001</v>
      </c>
      <c r="F3328" s="2">
        <v>0.57276000000000005</v>
      </c>
    </row>
    <row r="3329" spans="1:6" x14ac:dyDescent="0.25">
      <c r="A3329" t="s">
        <v>6</v>
      </c>
      <c r="B3329" s="5" t="str">
        <f>HYPERLINK("http://www.broadinstitute.org/gsea/msigdb/cards/GOBP_NEGATIVE_REGULATION_OF_PROGRAMMED_NECROTIC_CELL_DEATH.html","GOBP_NEGATIVE_REGULATION_OF_PROGRAMMED_NECROTIC_CELL_DEATH")</f>
        <v>GOBP_NEGATIVE_REGULATION_OF_PROGRAMMED_NECROTIC_CELL_DEATH</v>
      </c>
      <c r="C3329" s="4">
        <v>18</v>
      </c>
      <c r="D3329" s="3">
        <v>1.0172796</v>
      </c>
      <c r="E3329" s="1">
        <v>0.43626569999999998</v>
      </c>
      <c r="F3329" s="2">
        <v>0.57363459999999999</v>
      </c>
    </row>
    <row r="3330" spans="1:6" x14ac:dyDescent="0.25">
      <c r="A3330" t="s">
        <v>10</v>
      </c>
      <c r="B3330" s="5" t="str">
        <f>HYPERLINK("http://www.broadinstitute.org/gsea/msigdb/cards/REACTOME_RETROGRADE_TRANSPORT_AT_THE_TRANS_GOLGI_NETWORK.html","REACTOME_RETROGRADE_TRANSPORT_AT_THE_TRANS_GOLGI_NETWORK")</f>
        <v>REACTOME_RETROGRADE_TRANSPORT_AT_THE_TRANS_GOLGI_NETWORK</v>
      </c>
      <c r="C3330" s="4">
        <v>45</v>
      </c>
      <c r="D3330" s="3">
        <v>1.0170650000000001</v>
      </c>
      <c r="E3330" s="1">
        <v>0.42138365</v>
      </c>
      <c r="F3330" s="2">
        <v>0.57396954</v>
      </c>
    </row>
    <row r="3331" spans="1:6" x14ac:dyDescent="0.25">
      <c r="A3331" t="s">
        <v>9</v>
      </c>
      <c r="B3331" s="5" t="str">
        <f>HYPERLINK("http://www.broadinstitute.org/gsea/msigdb/cards/HALLMARK_BILE_ACID_METABOLISM.html","HALLMARK_BILE_ACID_METABOLISM")</f>
        <v>HALLMARK_BILE_ACID_METABOLISM</v>
      </c>
      <c r="C3331" s="4">
        <v>110</v>
      </c>
      <c r="D3331" s="3">
        <v>1.016845</v>
      </c>
      <c r="E3331" s="1">
        <v>0.41097924000000002</v>
      </c>
      <c r="F3331" s="2">
        <v>0.57433670000000003</v>
      </c>
    </row>
    <row r="3332" spans="1:6" x14ac:dyDescent="0.25">
      <c r="A3332" t="s">
        <v>6</v>
      </c>
      <c r="B3332" s="5" t="str">
        <f>HYPERLINK("http://www.broadinstitute.org/gsea/msigdb/cards/GOBP_MEMBRANE_DEPOLARIZATION.html","GOBP_MEMBRANE_DEPOLARIZATION")</f>
        <v>GOBP_MEMBRANE_DEPOLARIZATION</v>
      </c>
      <c r="C3332" s="4">
        <v>97</v>
      </c>
      <c r="D3332" s="3">
        <v>1.0168377</v>
      </c>
      <c r="E3332" s="1">
        <v>0.41573032999999998</v>
      </c>
      <c r="F3332" s="2">
        <v>0.57418250000000004</v>
      </c>
    </row>
    <row r="3333" spans="1:6" x14ac:dyDescent="0.25">
      <c r="A3333" t="s">
        <v>7</v>
      </c>
      <c r="B3333" s="5" t="str">
        <f>HYPERLINK("http://www.broadinstitute.org/gsea/msigdb/cards/GOCC_FIBRILLAR_CENTER.html","GOCC_FIBRILLAR_CENTER")</f>
        <v>GOCC_FIBRILLAR_CENTER</v>
      </c>
      <c r="C3333" s="4">
        <v>153</v>
      </c>
      <c r="D3333" s="3">
        <v>1.0162078999999999</v>
      </c>
      <c r="E3333" s="1">
        <v>0.39885222999999997</v>
      </c>
      <c r="F3333" s="2">
        <v>0.57555467000000005</v>
      </c>
    </row>
    <row r="3334" spans="1:6" x14ac:dyDescent="0.25">
      <c r="A3334" t="s">
        <v>6</v>
      </c>
      <c r="B3334" s="5" t="str">
        <f>HYPERLINK("http://www.broadinstitute.org/gsea/msigdb/cards/GOBP_COGNITION.html","GOBP_COGNITION")</f>
        <v>GOBP_COGNITION</v>
      </c>
      <c r="C3334" s="4">
        <v>361</v>
      </c>
      <c r="D3334" s="3">
        <v>1.0161344999999999</v>
      </c>
      <c r="E3334" s="1">
        <v>0.40588990000000003</v>
      </c>
      <c r="F3334" s="2">
        <v>0.57554333999999996</v>
      </c>
    </row>
    <row r="3335" spans="1:6" x14ac:dyDescent="0.25">
      <c r="A3335" t="s">
        <v>6</v>
      </c>
      <c r="B3335" s="5" t="str">
        <f>HYPERLINK("http://www.broadinstitute.org/gsea/msigdb/cards/GOBP_REGULATION_OF_SYNAPTIC_VESICLE_EXOCYTOSIS.html","GOBP_REGULATION_OF_SYNAPTIC_VESICLE_EXOCYTOSIS")</f>
        <v>GOBP_REGULATION_OF_SYNAPTIC_VESICLE_EXOCYTOSIS</v>
      </c>
      <c r="C3335" s="4">
        <v>59</v>
      </c>
      <c r="D3335" s="3">
        <v>1.0161209</v>
      </c>
      <c r="E3335" s="1">
        <v>0.41809671999999998</v>
      </c>
      <c r="F3335" s="2">
        <v>0.57540214000000001</v>
      </c>
    </row>
    <row r="3336" spans="1:6" x14ac:dyDescent="0.25">
      <c r="A3336" t="s">
        <v>6</v>
      </c>
      <c r="B3336" s="5" t="str">
        <f>HYPERLINK("http://www.broadinstitute.org/gsea/msigdb/cards/GOBP_PROTEOGLYCAN_BIOSYNTHETIC_PROCESS.html","GOBP_PROTEOGLYCAN_BIOSYNTHETIC_PROCESS")</f>
        <v>GOBP_PROTEOGLYCAN_BIOSYNTHETIC_PROCESS</v>
      </c>
      <c r="C3336" s="4">
        <v>61</v>
      </c>
      <c r="D3336" s="3">
        <v>1.0160495</v>
      </c>
      <c r="E3336" s="1">
        <v>0.42993631999999998</v>
      </c>
      <c r="F3336" s="2">
        <v>0.57540243999999996</v>
      </c>
    </row>
    <row r="3337" spans="1:6" x14ac:dyDescent="0.25">
      <c r="A3337" t="s">
        <v>6</v>
      </c>
      <c r="B3337" s="5" t="str">
        <f>HYPERLINK("http://www.broadinstitute.org/gsea/msigdb/cards/GOBP_LIGAND_GATED_ION_CHANNEL_SIGNALING_PATHWAY.html","GOBP_LIGAND_GATED_ION_CHANNEL_SIGNALING_PATHWAY")</f>
        <v>GOBP_LIGAND_GATED_ION_CHANNEL_SIGNALING_PATHWAY</v>
      </c>
      <c r="C3337" s="4">
        <v>31</v>
      </c>
      <c r="D3337" s="3">
        <v>1.0157628000000001</v>
      </c>
      <c r="E3337" s="1">
        <v>0.44389440000000002</v>
      </c>
      <c r="F3337" s="2">
        <v>0.57594836000000005</v>
      </c>
    </row>
    <row r="3338" spans="1:6" x14ac:dyDescent="0.25">
      <c r="A3338" t="s">
        <v>6</v>
      </c>
      <c r="B3338" s="5" t="str">
        <f>HYPERLINK("http://www.broadinstitute.org/gsea/msigdb/cards/GOBP_REGULATION_OF_POLYSACCHARIDE_BIOSYNTHETIC_PROCESS.html","GOBP_REGULATION_OF_POLYSACCHARIDE_BIOSYNTHETIC_PROCESS")</f>
        <v>GOBP_REGULATION_OF_POLYSACCHARIDE_BIOSYNTHETIC_PROCESS</v>
      </c>
      <c r="C3338" s="4">
        <v>38</v>
      </c>
      <c r="D3338" s="3">
        <v>1.0157438999999999</v>
      </c>
      <c r="E3338" s="1">
        <v>0.42553192000000001</v>
      </c>
      <c r="F3338" s="2">
        <v>0.57582199999999994</v>
      </c>
    </row>
    <row r="3339" spans="1:6" x14ac:dyDescent="0.25">
      <c r="A3339" t="s">
        <v>7</v>
      </c>
      <c r="B3339" s="5" t="str">
        <f>HYPERLINK("http://www.broadinstitute.org/gsea/msigdb/cards/GOCC_POLE_PLASM.html","GOCC_POLE_PLASM")</f>
        <v>GOCC_POLE_PLASM</v>
      </c>
      <c r="C3339" s="4">
        <v>23</v>
      </c>
      <c r="D3339" s="3">
        <v>1.0144316</v>
      </c>
      <c r="E3339" s="1">
        <v>0.43448274999999997</v>
      </c>
      <c r="F3339" s="2">
        <v>0.57876384000000003</v>
      </c>
    </row>
    <row r="3340" spans="1:6" x14ac:dyDescent="0.25">
      <c r="A3340" t="s">
        <v>6</v>
      </c>
      <c r="B3340" s="5" t="str">
        <f>HYPERLINK("http://www.broadinstitute.org/gsea/msigdb/cards/GOBP_PYRUVATE_METABOLIC_PROCESS.html","GOBP_PYRUVATE_METABOLIC_PROCESS")</f>
        <v>GOBP_PYRUVATE_METABOLIC_PROCESS</v>
      </c>
      <c r="C3340" s="4">
        <v>128</v>
      </c>
      <c r="D3340" s="3">
        <v>1.0143803</v>
      </c>
      <c r="E3340" s="1">
        <v>0.43491125000000003</v>
      </c>
      <c r="F3340" s="2">
        <v>0.57871455000000005</v>
      </c>
    </row>
    <row r="3341" spans="1:6" x14ac:dyDescent="0.25">
      <c r="A3341" t="s">
        <v>6</v>
      </c>
      <c r="B3341" s="5" t="str">
        <f>HYPERLINK("http://www.broadinstitute.org/gsea/msigdb/cards/GOBP_T_CELL_LINEAGE_COMMITMENT.html","GOBP_T_CELL_LINEAGE_COMMITMENT")</f>
        <v>GOBP_T_CELL_LINEAGE_COMMITMENT</v>
      </c>
      <c r="C3341" s="4">
        <v>31</v>
      </c>
      <c r="D3341" s="3">
        <v>1.0140122</v>
      </c>
      <c r="E3341" s="1">
        <v>0.41791045999999998</v>
      </c>
      <c r="F3341" s="2">
        <v>0.57941279999999995</v>
      </c>
    </row>
    <row r="3342" spans="1:6" x14ac:dyDescent="0.25">
      <c r="A3342" t="s">
        <v>6</v>
      </c>
      <c r="B3342" s="5" t="str">
        <f>HYPERLINK("http://www.broadinstitute.org/gsea/msigdb/cards/GOBP_TORC1_SIGNALING.html","GOBP_TORC1_SIGNALING")</f>
        <v>GOBP_TORC1_SIGNALING</v>
      </c>
      <c r="C3342" s="4">
        <v>97</v>
      </c>
      <c r="D3342" s="3">
        <v>1.0135107999999999</v>
      </c>
      <c r="E3342" s="1">
        <v>0.44377810000000001</v>
      </c>
      <c r="F3342" s="2">
        <v>0.58044300000000004</v>
      </c>
    </row>
    <row r="3343" spans="1:6" x14ac:dyDescent="0.25">
      <c r="A3343" t="s">
        <v>6</v>
      </c>
      <c r="B3343" s="5" t="str">
        <f>HYPERLINK("http://www.broadinstitute.org/gsea/msigdb/cards/GOBP_TUBE_FORMATION.html","GOBP_TUBE_FORMATION")</f>
        <v>GOBP_TUBE_FORMATION</v>
      </c>
      <c r="C3343" s="4">
        <v>178</v>
      </c>
      <c r="D3343" s="3">
        <v>1.01342</v>
      </c>
      <c r="E3343" s="1">
        <v>0.42751479999999997</v>
      </c>
      <c r="F3343" s="2">
        <v>0.58049280000000003</v>
      </c>
    </row>
    <row r="3344" spans="1:6" x14ac:dyDescent="0.25">
      <c r="A3344" t="s">
        <v>6</v>
      </c>
      <c r="B3344" s="5" t="str">
        <f>HYPERLINK("http://www.broadinstitute.org/gsea/msigdb/cards/GOBP_POSITIVE_REGULATION_OF_TRANSPORTER_ACTIVITY.html","GOBP_POSITIVE_REGULATION_OF_TRANSPORTER_ACTIVITY")</f>
        <v>GOBP_POSITIVE_REGULATION_OF_TRANSPORTER_ACTIVITY</v>
      </c>
      <c r="C3344" s="4">
        <v>134</v>
      </c>
      <c r="D3344" s="3">
        <v>1.0133139</v>
      </c>
      <c r="E3344" s="1">
        <v>0.41438848</v>
      </c>
      <c r="F3344" s="2">
        <v>0.5805785</v>
      </c>
    </row>
    <row r="3345" spans="1:6" x14ac:dyDescent="0.25">
      <c r="A3345" t="s">
        <v>6</v>
      </c>
      <c r="B3345" s="5" t="str">
        <f>HYPERLINK("http://www.broadinstitute.org/gsea/msigdb/cards/GOBP_REGULATION_OF_CYSTEINE_TYPE_ENDOPEPTIDASE_ACTIVITY_INVOLVED_IN_APOPTOTIC_SIGNALING_PATHWAY.html","GOBP_REGULATION_OF_CYSTEINE_TYPE_ENDOPEPTIDASE_ACTIVITY_INVOLVED_IN_APOPTOTIC_SIGNALING_PATHWAY")</f>
        <v>GOBP_REGULATION_OF_CYSTEINE_TYPE_ENDOPEPTIDASE_ACTIVITY_INVOLVED_IN_APOPTOTIC_SIGNALING_PATHWAY</v>
      </c>
      <c r="C3345" s="4">
        <v>17</v>
      </c>
      <c r="D3345" s="3">
        <v>1.0131809000000001</v>
      </c>
      <c r="E3345" s="1">
        <v>0.45904436999999998</v>
      </c>
      <c r="F3345" s="2">
        <v>0.58074680000000001</v>
      </c>
    </row>
    <row r="3346" spans="1:6" x14ac:dyDescent="0.25">
      <c r="A3346" t="s">
        <v>6</v>
      </c>
      <c r="B3346" s="5" t="str">
        <f>HYPERLINK("http://www.broadinstitute.org/gsea/msigdb/cards/GOBP_NEGATIVE_REGULATION_OF_MUSCLE_CELL_APOPTOTIC_PROCESS.html","GOBP_NEGATIVE_REGULATION_OF_MUSCLE_CELL_APOPTOTIC_PROCESS")</f>
        <v>GOBP_NEGATIVE_REGULATION_OF_MUSCLE_CELL_APOPTOTIC_PROCESS</v>
      </c>
      <c r="C3346" s="4">
        <v>65</v>
      </c>
      <c r="D3346" s="3">
        <v>1.0128655</v>
      </c>
      <c r="E3346" s="1">
        <v>0.41842901999999998</v>
      </c>
      <c r="F3346" s="2">
        <v>0.58134145000000004</v>
      </c>
    </row>
    <row r="3347" spans="1:6" x14ac:dyDescent="0.25">
      <c r="A3347" t="s">
        <v>10</v>
      </c>
      <c r="B3347" s="5" t="str">
        <f>HYPERLINK("http://www.broadinstitute.org/gsea/msigdb/cards/REACTOME_RAF_ACTIVATION.html","REACTOME_RAF_ACTIVATION")</f>
        <v>REACTOME_RAF_ACTIVATION</v>
      </c>
      <c r="C3347" s="4">
        <v>34</v>
      </c>
      <c r="D3347" s="3">
        <v>1.0126202</v>
      </c>
      <c r="E3347" s="1">
        <v>0.43801653000000002</v>
      </c>
      <c r="F3347" s="2">
        <v>0.58174630000000005</v>
      </c>
    </row>
    <row r="3348" spans="1:6" x14ac:dyDescent="0.25">
      <c r="A3348" t="s">
        <v>6</v>
      </c>
      <c r="B3348" s="5" t="str">
        <f>HYPERLINK("http://www.broadinstitute.org/gsea/msigdb/cards/GOBP_REGULATION_OF_SECONDARY_METABOLIC_PROCESS.html","GOBP_REGULATION_OF_SECONDARY_METABOLIC_PROCESS")</f>
        <v>GOBP_REGULATION_OF_SECONDARY_METABOLIC_PROCESS</v>
      </c>
      <c r="C3348" s="4">
        <v>15</v>
      </c>
      <c r="D3348" s="3">
        <v>1.0123422</v>
      </c>
      <c r="E3348" s="1">
        <v>0.42758620000000003</v>
      </c>
      <c r="F3348" s="2">
        <v>0.58226186000000002</v>
      </c>
    </row>
    <row r="3349" spans="1:6" x14ac:dyDescent="0.25">
      <c r="A3349" t="s">
        <v>10</v>
      </c>
      <c r="B3349" s="5" t="str">
        <f>HYPERLINK("http://www.broadinstitute.org/gsea/msigdb/cards/REACTOME_CYCLIN_D_ASSOCIATED_EVENTS_IN_G1.html","REACTOME_CYCLIN_D_ASSOCIATED_EVENTS_IN_G1")</f>
        <v>REACTOME_CYCLIN_D_ASSOCIATED_EVENTS_IN_G1</v>
      </c>
      <c r="C3349" s="4">
        <v>42</v>
      </c>
      <c r="D3349" s="3">
        <v>1.0121675999999999</v>
      </c>
      <c r="E3349" s="1">
        <v>0.42857142999999998</v>
      </c>
      <c r="F3349" s="2">
        <v>0.58250409999999997</v>
      </c>
    </row>
    <row r="3350" spans="1:6" x14ac:dyDescent="0.25">
      <c r="A3350" t="s">
        <v>8</v>
      </c>
      <c r="B3350" s="5" t="str">
        <f>HYPERLINK("http://www.broadinstitute.org/gsea/msigdb/cards/GOMF_BETA_TUBULIN_BINDING.html","GOMF_BETA_TUBULIN_BINDING")</f>
        <v>GOMF_BETA_TUBULIN_BINDING</v>
      </c>
      <c r="C3350" s="4">
        <v>45</v>
      </c>
      <c r="D3350" s="3">
        <v>1.0119482</v>
      </c>
      <c r="E3350" s="1">
        <v>0.44757435000000001</v>
      </c>
      <c r="F3350" s="2">
        <v>0.58284279999999999</v>
      </c>
    </row>
    <row r="3351" spans="1:6" x14ac:dyDescent="0.25">
      <c r="A3351" t="s">
        <v>6</v>
      </c>
      <c r="B3351" s="5" t="str">
        <f>HYPERLINK("http://www.broadinstitute.org/gsea/msigdb/cards/GOBP_REGULATION_OF_UBIQUITIN_PROTEIN_TRANSFERASE_ACTIVITY.html","GOBP_REGULATION_OF_UBIQUITIN_PROTEIN_TRANSFERASE_ACTIVITY")</f>
        <v>GOBP_REGULATION_OF_UBIQUITIN_PROTEIN_TRANSFERASE_ACTIVITY</v>
      </c>
      <c r="C3351" s="4">
        <v>42</v>
      </c>
      <c r="D3351" s="3">
        <v>1.0111174999999999</v>
      </c>
      <c r="E3351" s="1">
        <v>0.43835615999999999</v>
      </c>
      <c r="F3351" s="2">
        <v>0.58463012999999997</v>
      </c>
    </row>
    <row r="3352" spans="1:6" x14ac:dyDescent="0.25">
      <c r="A3352" t="s">
        <v>10</v>
      </c>
      <c r="B3352" s="5" t="str">
        <f>HYPERLINK("http://www.broadinstitute.org/gsea/msigdb/cards/REACTOME_RHOH_GTPASE_CYCLE.html","REACTOME_RHOH_GTPASE_CYCLE")</f>
        <v>REACTOME_RHOH_GTPASE_CYCLE</v>
      </c>
      <c r="C3352" s="4">
        <v>35</v>
      </c>
      <c r="D3352" s="3">
        <v>1.0108086000000001</v>
      </c>
      <c r="E3352" s="1">
        <v>0.4342762</v>
      </c>
      <c r="F3352" s="2">
        <v>0.5852039</v>
      </c>
    </row>
    <row r="3353" spans="1:6" x14ac:dyDescent="0.25">
      <c r="A3353" t="s">
        <v>8</v>
      </c>
      <c r="B3353" s="5" t="str">
        <f>HYPERLINK("http://www.broadinstitute.org/gsea/msigdb/cards/GOMF_CALMODULIN_BINDING.html","GOMF_CALMODULIN_BINDING")</f>
        <v>GOMF_CALMODULIN_BINDING</v>
      </c>
      <c r="C3353" s="4">
        <v>188</v>
      </c>
      <c r="D3353" s="3">
        <v>1.0106287</v>
      </c>
      <c r="E3353" s="1">
        <v>0.43478260000000002</v>
      </c>
      <c r="F3353" s="2">
        <v>0.58546350000000003</v>
      </c>
    </row>
    <row r="3354" spans="1:6" x14ac:dyDescent="0.25">
      <c r="A3354" t="s">
        <v>6</v>
      </c>
      <c r="B3354" s="5" t="str">
        <f>HYPERLINK("http://www.broadinstitute.org/gsea/msigdb/cards/GOBP_CARDIAC_CHAMBER_DEVELOPMENT.html","GOBP_CARDIAC_CHAMBER_DEVELOPMENT")</f>
        <v>GOBP_CARDIAC_CHAMBER_DEVELOPMENT</v>
      </c>
      <c r="C3354" s="4">
        <v>186</v>
      </c>
      <c r="D3354" s="3">
        <v>1.0104346</v>
      </c>
      <c r="E3354" s="1">
        <v>0.44125681999999999</v>
      </c>
      <c r="F3354" s="2">
        <v>0.58578350000000001</v>
      </c>
    </row>
    <row r="3355" spans="1:6" x14ac:dyDescent="0.25">
      <c r="A3355" t="s">
        <v>6</v>
      </c>
      <c r="B3355" s="5" t="str">
        <f>HYPERLINK("http://www.broadinstitute.org/gsea/msigdb/cards/GOBP_TROPHECTODERMAL_CELL_DIFFERENTIATION.html","GOBP_TROPHECTODERMAL_CELL_DIFFERENTIATION")</f>
        <v>GOBP_TROPHECTODERMAL_CELL_DIFFERENTIATION</v>
      </c>
      <c r="C3355" s="4">
        <v>24</v>
      </c>
      <c r="D3355" s="3">
        <v>1.0099302999999999</v>
      </c>
      <c r="E3355" s="1">
        <v>0.43147210000000003</v>
      </c>
      <c r="F3355" s="2">
        <v>0.58683359999999996</v>
      </c>
    </row>
    <row r="3356" spans="1:6" x14ac:dyDescent="0.25">
      <c r="A3356" t="s">
        <v>7</v>
      </c>
      <c r="B3356" s="5" t="str">
        <f>HYPERLINK("http://www.broadinstitute.org/gsea/msigdb/cards/GOCC_TRANSPORT_VESICLE_MEMBRANE.html","GOCC_TRANSPORT_VESICLE_MEMBRANE")</f>
        <v>GOCC_TRANSPORT_VESICLE_MEMBRANE</v>
      </c>
      <c r="C3356" s="4">
        <v>188</v>
      </c>
      <c r="D3356" s="3">
        <v>1.0095584</v>
      </c>
      <c r="E3356" s="1">
        <v>0.43191197999999997</v>
      </c>
      <c r="F3356" s="2">
        <v>0.5875534</v>
      </c>
    </row>
    <row r="3357" spans="1:6" x14ac:dyDescent="0.25">
      <c r="A3357" t="s">
        <v>10</v>
      </c>
      <c r="B3357" s="5" t="str">
        <f>HYPERLINK("http://www.broadinstitute.org/gsea/msigdb/cards/REACTOME_FC_EPSILON_RECEPTOR_FCERI_SIGNALING.html","REACTOME_FC_EPSILON_RECEPTOR_FCERI_SIGNALING")</f>
        <v>REACTOME_FC_EPSILON_RECEPTOR_FCERI_SIGNALING</v>
      </c>
      <c r="C3357" s="4">
        <v>120</v>
      </c>
      <c r="D3357" s="3">
        <v>1.0093563999999999</v>
      </c>
      <c r="E3357" s="1">
        <v>0.42336875000000002</v>
      </c>
      <c r="F3357" s="2">
        <v>0.58786959999999999</v>
      </c>
    </row>
    <row r="3358" spans="1:6" x14ac:dyDescent="0.25">
      <c r="A3358" t="s">
        <v>8</v>
      </c>
      <c r="B3358" s="5" t="str">
        <f>HYPERLINK("http://www.broadinstitute.org/gsea/msigdb/cards/GOMF_PHOSPHOLIPASE_A2_ACTIVITY.html","GOMF_PHOSPHOLIPASE_A2_ACTIVITY")</f>
        <v>GOMF_PHOSPHOLIPASE_A2_ACTIVITY</v>
      </c>
      <c r="C3358" s="4">
        <v>32</v>
      </c>
      <c r="D3358" s="3">
        <v>1.0084237</v>
      </c>
      <c r="E3358" s="1">
        <v>0.44732295999999999</v>
      </c>
      <c r="F3358" s="2">
        <v>0.58999140000000005</v>
      </c>
    </row>
    <row r="3359" spans="1:6" x14ac:dyDescent="0.25">
      <c r="A3359" t="s">
        <v>8</v>
      </c>
      <c r="B3359" s="5" t="str">
        <f>HYPERLINK("http://www.broadinstitute.org/gsea/msigdb/cards/GOMF_UBIQUITIN_LIKE_PROTEIN_BINDING.html","GOMF_UBIQUITIN_LIKE_PROTEIN_BINDING")</f>
        <v>GOMF_UBIQUITIN_LIKE_PROTEIN_BINDING</v>
      </c>
      <c r="C3359" s="4">
        <v>121</v>
      </c>
      <c r="D3359" s="3">
        <v>1.0083245000000001</v>
      </c>
      <c r="E3359" s="1">
        <v>0.44065282</v>
      </c>
      <c r="F3359" s="2">
        <v>0.5900495</v>
      </c>
    </row>
    <row r="3360" spans="1:6" x14ac:dyDescent="0.25">
      <c r="A3360" t="s">
        <v>8</v>
      </c>
      <c r="B3360" s="5" t="str">
        <f>HYPERLINK("http://www.broadinstitute.org/gsea/msigdb/cards/GOMF_LIGASE_ACTIVITY_FORMING_CARBON_OXYGEN_BONDS.html","GOMF_LIGASE_ACTIVITY_FORMING_CARBON_OXYGEN_BONDS")</f>
        <v>GOMF_LIGASE_ACTIVITY_FORMING_CARBON_OXYGEN_BONDS</v>
      </c>
      <c r="C3360" s="4">
        <v>41</v>
      </c>
      <c r="D3360" s="3">
        <v>1.0081753</v>
      </c>
      <c r="E3360" s="1">
        <v>0.47049180000000002</v>
      </c>
      <c r="F3360" s="2">
        <v>0.59023409999999998</v>
      </c>
    </row>
    <row r="3361" spans="1:6" x14ac:dyDescent="0.25">
      <c r="A3361" t="s">
        <v>6</v>
      </c>
      <c r="B3361" s="5" t="str">
        <f>HYPERLINK("http://www.broadinstitute.org/gsea/msigdb/cards/GOBP_CELL_CELL_SIGNALING_BY_WNT.html","GOBP_CELL_CELL_SIGNALING_BY_WNT")</f>
        <v>GOBP_CELL_CELL_SIGNALING_BY_WNT</v>
      </c>
      <c r="C3361" s="4">
        <v>444</v>
      </c>
      <c r="D3361" s="3">
        <v>1.0081241000000001</v>
      </c>
      <c r="E3361" s="1">
        <v>0.43129772</v>
      </c>
      <c r="F3361" s="2">
        <v>0.5901807</v>
      </c>
    </row>
    <row r="3362" spans="1:6" x14ac:dyDescent="0.25">
      <c r="A3362" t="s">
        <v>10</v>
      </c>
      <c r="B3362" s="5" t="str">
        <f>HYPERLINK("http://www.broadinstitute.org/gsea/msigdb/cards/REACTOME_SIGNALING_BY_NOTCH.html","REACTOME_SIGNALING_BY_NOTCH")</f>
        <v>REACTOME_SIGNALING_BY_NOTCH</v>
      </c>
      <c r="C3362" s="4">
        <v>39</v>
      </c>
      <c r="D3362" s="3">
        <v>1.0080354</v>
      </c>
      <c r="E3362" s="1">
        <v>0.42691030000000002</v>
      </c>
      <c r="F3362" s="2">
        <v>0.59021440000000003</v>
      </c>
    </row>
    <row r="3363" spans="1:6" x14ac:dyDescent="0.25">
      <c r="A3363" t="s">
        <v>6</v>
      </c>
      <c r="B3363" s="5" t="str">
        <f>HYPERLINK("http://www.broadinstitute.org/gsea/msigdb/cards/GOBP_NEGATIVE_REGULATION_OF_CELLULAR_CATABOLIC_PROCESS.html","GOBP_NEGATIVE_REGULATION_OF_CELLULAR_CATABOLIC_PROCESS")</f>
        <v>GOBP_NEGATIVE_REGULATION_OF_CELLULAR_CATABOLIC_PROCESS</v>
      </c>
      <c r="C3363" s="4">
        <v>189</v>
      </c>
      <c r="D3363" s="3">
        <v>1.0079693999999999</v>
      </c>
      <c r="E3363" s="1">
        <v>0.42595205000000003</v>
      </c>
      <c r="F3363" s="2">
        <v>0.59019166000000001</v>
      </c>
    </row>
    <row r="3364" spans="1:6" x14ac:dyDescent="0.25">
      <c r="A3364" t="s">
        <v>6</v>
      </c>
      <c r="B3364" s="5" t="str">
        <f>HYPERLINK("http://www.broadinstitute.org/gsea/msigdb/cards/GOBP_SODIUM_ION_IMPORT_ACROSS_PLASMA_MEMBRANE.html","GOBP_SODIUM_ION_IMPORT_ACROSS_PLASMA_MEMBRANE")</f>
        <v>GOBP_SODIUM_ION_IMPORT_ACROSS_PLASMA_MEMBRANE</v>
      </c>
      <c r="C3364" s="4">
        <v>22</v>
      </c>
      <c r="D3364" s="3">
        <v>1.0078913</v>
      </c>
      <c r="E3364" s="1">
        <v>0.42806392999999998</v>
      </c>
      <c r="F3364" s="2">
        <v>0.59020793000000005</v>
      </c>
    </row>
    <row r="3365" spans="1:6" x14ac:dyDescent="0.25">
      <c r="A3365" t="s">
        <v>6</v>
      </c>
      <c r="B3365" s="5" t="str">
        <f>HYPERLINK("http://www.broadinstitute.org/gsea/msigdb/cards/GOBP_MATERNAL_PROCESS_INVOLVED_IN_FEMALE_PREGNANCY.html","GOBP_MATERNAL_PROCESS_INVOLVED_IN_FEMALE_PREGNANCY")</f>
        <v>GOBP_MATERNAL_PROCESS_INVOLVED_IN_FEMALE_PREGNANCY</v>
      </c>
      <c r="C3365" s="4">
        <v>49</v>
      </c>
      <c r="D3365" s="3">
        <v>1.0078483</v>
      </c>
      <c r="E3365" s="1">
        <v>0.45039370000000001</v>
      </c>
      <c r="F3365" s="2">
        <v>0.59013260000000001</v>
      </c>
    </row>
    <row r="3366" spans="1:6" x14ac:dyDescent="0.25">
      <c r="A3366" t="s">
        <v>6</v>
      </c>
      <c r="B3366" s="5" t="str">
        <f>HYPERLINK("http://www.broadinstitute.org/gsea/msigdb/cards/GOBP_CYTOKINESIS.html","GOBP_CYTOKINESIS")</f>
        <v>GOBP_CYTOKINESIS</v>
      </c>
      <c r="C3366" s="4">
        <v>175</v>
      </c>
      <c r="D3366" s="3">
        <v>1.0077777000000001</v>
      </c>
      <c r="E3366" s="1">
        <v>0.42711369999999999</v>
      </c>
      <c r="F3366" s="2">
        <v>0.59012830000000005</v>
      </c>
    </row>
    <row r="3367" spans="1:6" x14ac:dyDescent="0.25">
      <c r="A3367" t="s">
        <v>9</v>
      </c>
      <c r="B3367" s="5" t="str">
        <f>HYPERLINK("http://www.broadinstitute.org/gsea/msigdb/cards/HALLMARK_REACTIVE_OXIGEN_SPECIES_PATHWAY.html","HALLMARK_REACTIVE_OXIGEN_SPECIES_PATHWAY")</f>
        <v>HALLMARK_REACTIVE_OXIGEN_SPECIES_PATHWAY</v>
      </c>
      <c r="C3367" s="4">
        <v>48</v>
      </c>
      <c r="D3367" s="3">
        <v>1.0077297999999999</v>
      </c>
      <c r="E3367" s="1">
        <v>0.4522293</v>
      </c>
      <c r="F3367" s="2">
        <v>0.59007770000000004</v>
      </c>
    </row>
    <row r="3368" spans="1:6" x14ac:dyDescent="0.25">
      <c r="A3368" t="s">
        <v>10</v>
      </c>
      <c r="B3368" s="5" t="str">
        <f>HYPERLINK("http://www.broadinstitute.org/gsea/msigdb/cards/REACTOME_METABOLISM_OF_COFACTORS.html","REACTOME_METABOLISM_OF_COFACTORS")</f>
        <v>REACTOME_METABOLISM_OF_COFACTORS</v>
      </c>
      <c r="C3368" s="4">
        <v>15</v>
      </c>
      <c r="D3368" s="3">
        <v>1.007352</v>
      </c>
      <c r="E3368" s="1">
        <v>0.45486110000000002</v>
      </c>
      <c r="F3368" s="2">
        <v>0.59080034000000003</v>
      </c>
    </row>
    <row r="3369" spans="1:6" x14ac:dyDescent="0.25">
      <c r="A3369" t="s">
        <v>6</v>
      </c>
      <c r="B3369" s="5" t="str">
        <f>HYPERLINK("http://www.broadinstitute.org/gsea/msigdb/cards/GOBP_POSITIVE_REGULATION_OF_REACTIVE_OXYGEN_SPECIES_BIOSYNTHETIC_PROCESS.html","GOBP_POSITIVE_REGULATION_OF_REACTIVE_OXYGEN_SPECIES_BIOSYNTHETIC_PROCESS")</f>
        <v>GOBP_POSITIVE_REGULATION_OF_REACTIVE_OXYGEN_SPECIES_BIOSYNTHETIC_PROCESS</v>
      </c>
      <c r="C3369" s="4">
        <v>24</v>
      </c>
      <c r="D3369" s="3">
        <v>1.0073364</v>
      </c>
      <c r="E3369" s="1">
        <v>0.45454547000000001</v>
      </c>
      <c r="F3369" s="2">
        <v>0.59065809999999996</v>
      </c>
    </row>
    <row r="3370" spans="1:6" x14ac:dyDescent="0.25">
      <c r="A3370" t="s">
        <v>8</v>
      </c>
      <c r="B3370" s="5" t="str">
        <f>HYPERLINK("http://www.broadinstitute.org/gsea/msigdb/cards/GOMF_HYDRO_LYASE_ACTIVITY.html","GOMF_HYDRO_LYASE_ACTIVITY")</f>
        <v>GOMF_HYDRO_LYASE_ACTIVITY</v>
      </c>
      <c r="C3370" s="4">
        <v>59</v>
      </c>
      <c r="D3370" s="3">
        <v>1.0066234999999999</v>
      </c>
      <c r="E3370" s="1">
        <v>0.44409936999999999</v>
      </c>
      <c r="F3370" s="2">
        <v>0.59214489999999997</v>
      </c>
    </row>
    <row r="3371" spans="1:6" x14ac:dyDescent="0.25">
      <c r="A3371" t="s">
        <v>6</v>
      </c>
      <c r="B3371" s="5" t="str">
        <f>HYPERLINK("http://www.broadinstitute.org/gsea/msigdb/cards/GOBP_HEMATOPOIETIC_STEM_CELL_PROLIFERATION.html","GOBP_HEMATOPOIETIC_STEM_CELL_PROLIFERATION")</f>
        <v>GOBP_HEMATOPOIETIC_STEM_CELL_PROLIFERATION</v>
      </c>
      <c r="C3371" s="4">
        <v>37</v>
      </c>
      <c r="D3371" s="3">
        <v>1.0065877000000001</v>
      </c>
      <c r="E3371" s="1">
        <v>0.43535188000000002</v>
      </c>
      <c r="F3371" s="2">
        <v>0.59205973000000001</v>
      </c>
    </row>
    <row r="3372" spans="1:6" x14ac:dyDescent="0.25">
      <c r="A3372" t="s">
        <v>10</v>
      </c>
      <c r="B3372" s="5" t="str">
        <f>HYPERLINK("http://www.broadinstitute.org/gsea/msigdb/cards/REACTOME_SYNTHESIS_OF_BILE_ACIDS_AND_BILE_SALTS_VIA_7ALPHA_HYDROXYCHOLESTEROL.html","REACTOME_SYNTHESIS_OF_BILE_ACIDS_AND_BILE_SALTS_VIA_7ALPHA_HYDROXYCHOLESTEROL")</f>
        <v>REACTOME_SYNTHESIS_OF_BILE_ACIDS_AND_BILE_SALTS_VIA_7ALPHA_HYDROXYCHOLESTEROL</v>
      </c>
      <c r="C3372" s="4">
        <v>25</v>
      </c>
      <c r="D3372" s="3">
        <v>1.0063806</v>
      </c>
      <c r="E3372" s="1">
        <v>0.43856656999999999</v>
      </c>
      <c r="F3372" s="2">
        <v>0.59237930000000005</v>
      </c>
    </row>
    <row r="3373" spans="1:6" x14ac:dyDescent="0.25">
      <c r="A3373" t="s">
        <v>6</v>
      </c>
      <c r="B3373" s="5" t="str">
        <f>HYPERLINK("http://www.broadinstitute.org/gsea/msigdb/cards/GOBP_NEGATIVE_REGULATION_OF_CD4_POSITIVE_ALPHA_BETA_T_CELL_DIFFERENTIATION.html","GOBP_NEGATIVE_REGULATION_OF_CD4_POSITIVE_ALPHA_BETA_T_CELL_DIFFERENTIATION")</f>
        <v>GOBP_NEGATIVE_REGULATION_OF_CD4_POSITIVE_ALPHA_BETA_T_CELL_DIFFERENTIATION</v>
      </c>
      <c r="C3373" s="4">
        <v>25</v>
      </c>
      <c r="D3373" s="3">
        <v>1.0063569999999999</v>
      </c>
      <c r="E3373" s="1">
        <v>0.4442623</v>
      </c>
      <c r="F3373" s="2">
        <v>0.59225740000000004</v>
      </c>
    </row>
    <row r="3374" spans="1:6" x14ac:dyDescent="0.25">
      <c r="A3374" t="s">
        <v>6</v>
      </c>
      <c r="B3374" s="5" t="str">
        <f>HYPERLINK("http://www.broadinstitute.org/gsea/msigdb/cards/GOBP_ENERGY_HOMEOSTASIS.html","GOBP_ENERGY_HOMEOSTASIS")</f>
        <v>GOBP_ENERGY_HOMEOSTASIS</v>
      </c>
      <c r="C3374" s="4">
        <v>88</v>
      </c>
      <c r="D3374" s="3">
        <v>1.0062526000000001</v>
      </c>
      <c r="E3374" s="1">
        <v>0.41590213999999998</v>
      </c>
      <c r="F3374" s="2">
        <v>0.59233919999999995</v>
      </c>
    </row>
    <row r="3375" spans="1:6" x14ac:dyDescent="0.25">
      <c r="A3375" t="s">
        <v>5</v>
      </c>
      <c r="B3375" s="5" t="str">
        <f>HYPERLINK("http://www.broadinstitute.org/gsea/msigdb/cards/BIOCARTA_TEL_PATHWAY.html","BIOCARTA_TEL_PATHWAY")</f>
        <v>BIOCARTA_TEL_PATHWAY</v>
      </c>
      <c r="C3375" s="4">
        <v>17</v>
      </c>
      <c r="D3375" s="3">
        <v>1.0062032000000001</v>
      </c>
      <c r="E3375" s="1">
        <v>0.47198639999999997</v>
      </c>
      <c r="F3375" s="2">
        <v>0.59228533999999999</v>
      </c>
    </row>
    <row r="3376" spans="1:6" x14ac:dyDescent="0.25">
      <c r="A3376" t="s">
        <v>10</v>
      </c>
      <c r="B3376" s="5" t="str">
        <f>HYPERLINK("http://www.broadinstitute.org/gsea/msigdb/cards/REACTOME_TNFR2_NON_CANONICAL_NF_KB_PATHWAY.html","REACTOME_TNFR2_NON_CANONICAL_NF_KB_PATHWAY")</f>
        <v>REACTOME_TNFR2_NON_CANONICAL_NF_KB_PATHWAY</v>
      </c>
      <c r="C3376" s="4">
        <v>97</v>
      </c>
      <c r="D3376" s="3">
        <v>1.0061007</v>
      </c>
      <c r="E3376" s="1">
        <v>0.44117646999999999</v>
      </c>
      <c r="F3376" s="2">
        <v>0.59234770000000003</v>
      </c>
    </row>
    <row r="3377" spans="1:6" x14ac:dyDescent="0.25">
      <c r="A3377" t="s">
        <v>6</v>
      </c>
      <c r="B3377" s="5" t="str">
        <f>HYPERLINK("http://www.broadinstitute.org/gsea/msigdb/cards/GOBP_NEGATIVE_REGULATION_OF_REACTIVE_OXYGEN_SPECIES_METABOLIC_PROCESS.html","GOBP_NEGATIVE_REGULATION_OF_REACTIVE_OXYGEN_SPECIES_METABOLIC_PROCESS")</f>
        <v>GOBP_NEGATIVE_REGULATION_OF_REACTIVE_OXYGEN_SPECIES_METABOLIC_PROCESS</v>
      </c>
      <c r="C3377" s="4">
        <v>53</v>
      </c>
      <c r="D3377" s="3">
        <v>1.0060924</v>
      </c>
      <c r="E3377" s="1">
        <v>0.45295057</v>
      </c>
      <c r="F3377" s="2">
        <v>0.59219146</v>
      </c>
    </row>
    <row r="3378" spans="1:6" x14ac:dyDescent="0.25">
      <c r="A3378" t="s">
        <v>7</v>
      </c>
      <c r="B3378" s="5" t="str">
        <f>HYPERLINK("http://www.broadinstitute.org/gsea/msigdb/cards/GOCC_TRANS_GOLGI_NETWORK_TRANSPORT_VESICLE_MEMBRANE.html","GOCC_TRANS_GOLGI_NETWORK_TRANSPORT_VESICLE_MEMBRANE")</f>
        <v>GOCC_TRANS_GOLGI_NETWORK_TRANSPORT_VESICLE_MEMBRANE</v>
      </c>
      <c r="C3378" s="4">
        <v>19</v>
      </c>
      <c r="D3378" s="3">
        <v>1.0060028000000001</v>
      </c>
      <c r="E3378" s="1">
        <v>0.45017183</v>
      </c>
      <c r="F3378" s="2">
        <v>0.59222730000000001</v>
      </c>
    </row>
    <row r="3379" spans="1:6" x14ac:dyDescent="0.25">
      <c r="A3379" t="s">
        <v>6</v>
      </c>
      <c r="B3379" s="5" t="str">
        <f>HYPERLINK("http://www.broadinstitute.org/gsea/msigdb/cards/GOBP_REGULATION_OF_OSTEOBLAST_PROLIFERATION.html","GOBP_REGULATION_OF_OSTEOBLAST_PROLIFERATION")</f>
        <v>GOBP_REGULATION_OF_OSTEOBLAST_PROLIFERATION</v>
      </c>
      <c r="C3379" s="4">
        <v>31</v>
      </c>
      <c r="D3379" s="3">
        <v>1.0056411999999999</v>
      </c>
      <c r="E3379" s="1">
        <v>0.43979933999999998</v>
      </c>
      <c r="F3379" s="2">
        <v>0.59294959999999997</v>
      </c>
    </row>
    <row r="3380" spans="1:6" x14ac:dyDescent="0.25">
      <c r="A3380" t="s">
        <v>8</v>
      </c>
      <c r="B3380" s="5" t="str">
        <f>HYPERLINK("http://www.broadinstitute.org/gsea/msigdb/cards/GOMF_HISTONE_H4_ACETYLTRANSFERASE_ACTIVITY.html","GOMF_HISTONE_H4_ACETYLTRANSFERASE_ACTIVITY")</f>
        <v>GOMF_HISTONE_H4_ACETYLTRANSFERASE_ACTIVITY</v>
      </c>
      <c r="C3380" s="4">
        <v>24</v>
      </c>
      <c r="D3380" s="3">
        <v>1.0053772999999999</v>
      </c>
      <c r="E3380" s="1">
        <v>0.42123287999999998</v>
      </c>
      <c r="F3380" s="2">
        <v>0.59340850000000001</v>
      </c>
    </row>
    <row r="3381" spans="1:6" x14ac:dyDescent="0.25">
      <c r="A3381" t="s">
        <v>6</v>
      </c>
      <c r="B3381" s="5" t="str">
        <f>HYPERLINK("http://www.broadinstitute.org/gsea/msigdb/cards/GOBP_RESPONSE_TO_TOXIC_SUBSTANCE.html","GOBP_RESPONSE_TO_TOXIC_SUBSTANCE")</f>
        <v>GOBP_RESPONSE_TO_TOXIC_SUBSTANCE</v>
      </c>
      <c r="C3381" s="4">
        <v>134</v>
      </c>
      <c r="D3381" s="3">
        <v>1.0051600000000001</v>
      </c>
      <c r="E3381" s="1">
        <v>0.44780636000000001</v>
      </c>
      <c r="F3381" s="2">
        <v>0.59375319999999998</v>
      </c>
    </row>
    <row r="3382" spans="1:6" x14ac:dyDescent="0.25">
      <c r="A3382" t="s">
        <v>6</v>
      </c>
      <c r="B3382" s="5" t="str">
        <f>HYPERLINK("http://www.broadinstitute.org/gsea/msigdb/cards/GOBP_REGULATION_OF_REPRODUCTIVE_PROCESS.html","GOBP_REGULATION_OF_REPRODUCTIVE_PROCESS")</f>
        <v>GOBP_REGULATION_OF_REPRODUCTIVE_PROCESS</v>
      </c>
      <c r="C3382" s="4">
        <v>211</v>
      </c>
      <c r="D3382" s="3">
        <v>1.0050128</v>
      </c>
      <c r="E3382" s="1">
        <v>0.45833333999999998</v>
      </c>
      <c r="F3382" s="2">
        <v>0.59393050000000003</v>
      </c>
    </row>
    <row r="3383" spans="1:6" x14ac:dyDescent="0.25">
      <c r="A3383" t="s">
        <v>10</v>
      </c>
      <c r="B3383" s="5" t="str">
        <f>HYPERLINK("http://www.broadinstitute.org/gsea/msigdb/cards/REACTOME_RHO_GTPASES_ACTIVATE_IQGAPS.html","REACTOME_RHO_GTPASES_ACTIVATE_IQGAPS")</f>
        <v>REACTOME_RHO_GTPASES_ACTIVATE_IQGAPS</v>
      </c>
      <c r="C3383" s="4">
        <v>29</v>
      </c>
      <c r="D3383" s="3">
        <v>1.0050066</v>
      </c>
      <c r="E3383" s="1">
        <v>0.42832170000000003</v>
      </c>
      <c r="F3383" s="2">
        <v>0.59377020000000003</v>
      </c>
    </row>
    <row r="3384" spans="1:6" x14ac:dyDescent="0.25">
      <c r="A3384" t="s">
        <v>6</v>
      </c>
      <c r="B3384" s="5" t="str">
        <f>HYPERLINK("http://www.broadinstitute.org/gsea/msigdb/cards/GOBP_VIRAL_GENE_EXPRESSION.html","GOBP_VIRAL_GENE_EXPRESSION")</f>
        <v>GOBP_VIRAL_GENE_EXPRESSION</v>
      </c>
      <c r="C3384" s="4">
        <v>73</v>
      </c>
      <c r="D3384" s="3">
        <v>1.0049787999999999</v>
      </c>
      <c r="E3384" s="1">
        <v>0.4375</v>
      </c>
      <c r="F3384" s="2">
        <v>0.59365889999999999</v>
      </c>
    </row>
    <row r="3385" spans="1:6" x14ac:dyDescent="0.25">
      <c r="A3385" t="s">
        <v>6</v>
      </c>
      <c r="B3385" s="5" t="str">
        <f>HYPERLINK("http://www.broadinstitute.org/gsea/msigdb/cards/GOBP_ECTODERM_DEVELOPMENT.html","GOBP_ECTODERM_DEVELOPMENT")</f>
        <v>GOBP_ECTODERM_DEVELOPMENT</v>
      </c>
      <c r="C3385" s="4">
        <v>17</v>
      </c>
      <c r="D3385" s="3">
        <v>1.0049155999999999</v>
      </c>
      <c r="E3385" s="1">
        <v>0.46643108</v>
      </c>
      <c r="F3385" s="2">
        <v>0.59363920000000003</v>
      </c>
    </row>
    <row r="3386" spans="1:6" x14ac:dyDescent="0.25">
      <c r="A3386" t="s">
        <v>6</v>
      </c>
      <c r="B3386" s="5" t="str">
        <f>HYPERLINK("http://www.broadinstitute.org/gsea/msigdb/cards/GOBP_CELL_MIGRATION_INVOLVED_IN_HEART_DEVELOPMENT.html","GOBP_CELL_MIGRATION_INVOLVED_IN_HEART_DEVELOPMENT")</f>
        <v>GOBP_CELL_MIGRATION_INVOLVED_IN_HEART_DEVELOPMENT</v>
      </c>
      <c r="C3386" s="4">
        <v>20</v>
      </c>
      <c r="D3386" s="3">
        <v>1.0047028</v>
      </c>
      <c r="E3386" s="1">
        <v>0.45777025999999998</v>
      </c>
      <c r="F3386" s="2">
        <v>0.59397124999999995</v>
      </c>
    </row>
    <row r="3387" spans="1:6" x14ac:dyDescent="0.25">
      <c r="A3387" t="s">
        <v>6</v>
      </c>
      <c r="B3387" s="5" t="str">
        <f>HYPERLINK("http://www.broadinstitute.org/gsea/msigdb/cards/GOBP_CELL_DIFFERENTIATION_INVOLVED_IN_KIDNEY_DEVELOPMENT.html","GOBP_CELL_DIFFERENTIATION_INVOLVED_IN_KIDNEY_DEVELOPMENT")</f>
        <v>GOBP_CELL_DIFFERENTIATION_INVOLVED_IN_KIDNEY_DEVELOPMENT</v>
      </c>
      <c r="C3387" s="4">
        <v>50</v>
      </c>
      <c r="D3387" s="3">
        <v>1.0038967000000001</v>
      </c>
      <c r="E3387" s="1">
        <v>0.46894409999999997</v>
      </c>
      <c r="F3387" s="2">
        <v>0.59572950000000002</v>
      </c>
    </row>
    <row r="3388" spans="1:6" x14ac:dyDescent="0.25">
      <c r="A3388" t="s">
        <v>6</v>
      </c>
      <c r="B3388" s="5" t="str">
        <f>HYPERLINK("http://www.broadinstitute.org/gsea/msigdb/cards/GOBP_REGULATION_OF_SYNAPTIC_VESICLE_RECYCLING.html","GOBP_REGULATION_OF_SYNAPTIC_VESICLE_RECYCLING")</f>
        <v>GOBP_REGULATION_OF_SYNAPTIC_VESICLE_RECYCLING</v>
      </c>
      <c r="C3388" s="4">
        <v>37</v>
      </c>
      <c r="D3388" s="3">
        <v>1.0035715000000001</v>
      </c>
      <c r="E3388" s="1">
        <v>0.44297520000000001</v>
      </c>
      <c r="F3388" s="2">
        <v>0.59633579999999997</v>
      </c>
    </row>
    <row r="3389" spans="1:6" x14ac:dyDescent="0.25">
      <c r="A3389" t="s">
        <v>6</v>
      </c>
      <c r="B3389" s="5" t="str">
        <f>HYPERLINK("http://www.broadinstitute.org/gsea/msigdb/cards/GOBP_CELLULAR_KETONE_METABOLIC_PROCESS.html","GOBP_CELLULAR_KETONE_METABOLIC_PROCESS")</f>
        <v>GOBP_CELLULAR_KETONE_METABOLIC_PROCESS</v>
      </c>
      <c r="C3389" s="4">
        <v>238</v>
      </c>
      <c r="D3389" s="3">
        <v>1.0025611999999999</v>
      </c>
      <c r="E3389" s="1">
        <v>0.46068966</v>
      </c>
      <c r="F3389" s="2">
        <v>0.59858906000000001</v>
      </c>
    </row>
    <row r="3390" spans="1:6" x14ac:dyDescent="0.25">
      <c r="A3390" t="s">
        <v>6</v>
      </c>
      <c r="B3390" s="5" t="str">
        <f>HYPERLINK("http://www.broadinstitute.org/gsea/msigdb/cards/GOBP_ANAPHASE_PROMOTING_COMPLEX_DEPENDENT_CATABOLIC_PROCESS.html","GOBP_ANAPHASE_PROMOTING_COMPLEX_DEPENDENT_CATABOLIC_PROCESS")</f>
        <v>GOBP_ANAPHASE_PROMOTING_COMPLEX_DEPENDENT_CATABOLIC_PROCESS</v>
      </c>
      <c r="C3390" s="4">
        <v>18</v>
      </c>
      <c r="D3390" s="3">
        <v>1.0020874</v>
      </c>
      <c r="E3390" s="1">
        <v>0.45818815000000002</v>
      </c>
      <c r="F3390" s="2">
        <v>0.59954273999999996</v>
      </c>
    </row>
    <row r="3391" spans="1:6" x14ac:dyDescent="0.25">
      <c r="A3391" t="s">
        <v>6</v>
      </c>
      <c r="B3391" s="5" t="str">
        <f>HYPERLINK("http://www.broadinstitute.org/gsea/msigdb/cards/GOBP_VISUAL_BEHAVIOR.html","GOBP_VISUAL_BEHAVIOR")</f>
        <v>GOBP_VISUAL_BEHAVIOR</v>
      </c>
      <c r="C3391" s="4">
        <v>81</v>
      </c>
      <c r="D3391" s="3">
        <v>1.0015590000000001</v>
      </c>
      <c r="E3391" s="1">
        <v>0.45498391999999999</v>
      </c>
      <c r="F3391" s="2">
        <v>0.6006418</v>
      </c>
    </row>
    <row r="3392" spans="1:6" x14ac:dyDescent="0.25">
      <c r="A3392" t="s">
        <v>8</v>
      </c>
      <c r="B3392" s="5" t="str">
        <f>HYPERLINK("http://www.broadinstitute.org/gsea/msigdb/cards/GOMF_ORGANIC_ACID_SODIUM_SYMPORTER_ACTIVITY.html","GOMF_ORGANIC_ACID_SODIUM_SYMPORTER_ACTIVITY")</f>
        <v>GOMF_ORGANIC_ACID_SODIUM_SYMPORTER_ACTIVITY</v>
      </c>
      <c r="C3392" s="4">
        <v>37</v>
      </c>
      <c r="D3392" s="3">
        <v>1.0013468000000001</v>
      </c>
      <c r="E3392" s="1">
        <v>0.45896150000000002</v>
      </c>
      <c r="F3392" s="2">
        <v>0.60097970000000001</v>
      </c>
    </row>
    <row r="3393" spans="1:6" x14ac:dyDescent="0.25">
      <c r="A3393" t="s">
        <v>6</v>
      </c>
      <c r="B3393" s="5" t="str">
        <f>HYPERLINK("http://www.broadinstitute.org/gsea/msigdb/cards/GOBP_POSITIVE_REGULATION_OF_CANONICAL_WNT_SIGNALING_PATHWAY.html","GOBP_POSITIVE_REGULATION_OF_CANONICAL_WNT_SIGNALING_PATHWAY")</f>
        <v>GOBP_POSITIVE_REGULATION_OF_CANONICAL_WNT_SIGNALING_PATHWAY</v>
      </c>
      <c r="C3393" s="4">
        <v>109</v>
      </c>
      <c r="D3393" s="3">
        <v>1.0011648</v>
      </c>
      <c r="E3393" s="1">
        <v>0.44558822999999997</v>
      </c>
      <c r="F3393" s="2">
        <v>0.60123320000000002</v>
      </c>
    </row>
    <row r="3394" spans="1:6" x14ac:dyDescent="0.25">
      <c r="A3394" t="s">
        <v>8</v>
      </c>
      <c r="B3394" s="5" t="str">
        <f>HYPERLINK("http://www.broadinstitute.org/gsea/msigdb/cards/GOMF_GAP_JUNCTION_CHANNEL_ACTIVITY.html","GOMF_GAP_JUNCTION_CHANNEL_ACTIVITY")</f>
        <v>GOMF_GAP_JUNCTION_CHANNEL_ACTIVITY</v>
      </c>
      <c r="C3394" s="4">
        <v>21</v>
      </c>
      <c r="D3394" s="3">
        <v>1.0011303</v>
      </c>
      <c r="E3394" s="1">
        <v>0.46052631999999999</v>
      </c>
      <c r="F3394" s="2">
        <v>0.60113185999999996</v>
      </c>
    </row>
    <row r="3395" spans="1:6" x14ac:dyDescent="0.25">
      <c r="A3395" t="s">
        <v>6</v>
      </c>
      <c r="B3395" s="5" t="str">
        <f>HYPERLINK("http://www.broadinstitute.org/gsea/msigdb/cards/GOBP_DETECTION_OF_CHEMICAL_STIMULUS_INVOLVED_IN_SENSORY_PERCEPTION_OF_TASTE.html","GOBP_DETECTION_OF_CHEMICAL_STIMULUS_INVOLVED_IN_SENSORY_PERCEPTION_OF_TASTE")</f>
        <v>GOBP_DETECTION_OF_CHEMICAL_STIMULUS_INVOLVED_IN_SENSORY_PERCEPTION_OF_TASTE</v>
      </c>
      <c r="C3395" s="4">
        <v>19</v>
      </c>
      <c r="D3395" s="3">
        <v>1.0006257999999999</v>
      </c>
      <c r="E3395" s="1">
        <v>0.45735028</v>
      </c>
      <c r="F3395" s="2">
        <v>0.60217220000000005</v>
      </c>
    </row>
    <row r="3396" spans="1:6" x14ac:dyDescent="0.25">
      <c r="A3396" t="s">
        <v>7</v>
      </c>
      <c r="B3396" s="5" t="str">
        <f>HYPERLINK("http://www.broadinstitute.org/gsea/msigdb/cards/GOCC_GLYCINERGIC_SYNAPSE.html","GOCC_GLYCINERGIC_SYNAPSE")</f>
        <v>GOCC_GLYCINERGIC_SYNAPSE</v>
      </c>
      <c r="C3396" s="4">
        <v>17</v>
      </c>
      <c r="D3396" s="3">
        <v>1.0001951</v>
      </c>
      <c r="E3396" s="1">
        <v>0.45017183</v>
      </c>
      <c r="F3396" s="2">
        <v>0.60306110000000002</v>
      </c>
    </row>
    <row r="3397" spans="1:6" x14ac:dyDescent="0.25">
      <c r="A3397" t="s">
        <v>8</v>
      </c>
      <c r="B3397" s="5" t="str">
        <f>HYPERLINK("http://www.broadinstitute.org/gsea/msigdb/cards/GOMF_PHOSPHOPROTEIN_PHOSPHATASE_ACTIVITY.html","GOMF_PHOSPHOPROTEIN_PHOSPHATASE_ACTIVITY")</f>
        <v>GOMF_PHOSPHOPROTEIN_PHOSPHATASE_ACTIVITY</v>
      </c>
      <c r="C3397" s="4">
        <v>156</v>
      </c>
      <c r="D3397" s="3">
        <v>0.99975323999999999</v>
      </c>
      <c r="E3397" s="1">
        <v>0.46829971999999997</v>
      </c>
      <c r="F3397" s="2">
        <v>0.60396649999999996</v>
      </c>
    </row>
    <row r="3398" spans="1:6" x14ac:dyDescent="0.25">
      <c r="A3398" t="s">
        <v>6</v>
      </c>
      <c r="B3398" s="5" t="str">
        <f>HYPERLINK("http://www.broadinstitute.org/gsea/msigdb/cards/GOBP_GLYCEROLIPID_BIOSYNTHETIC_PROCESS.html","GOBP_GLYCEROLIPID_BIOSYNTHETIC_PROCESS")</f>
        <v>GOBP_GLYCEROLIPID_BIOSYNTHETIC_PROCESS</v>
      </c>
      <c r="C3398" s="4">
        <v>215</v>
      </c>
      <c r="D3398" s="3">
        <v>0.99970495999999998</v>
      </c>
      <c r="E3398" s="1">
        <v>0.4561151</v>
      </c>
      <c r="F3398" s="2">
        <v>0.60390820000000001</v>
      </c>
    </row>
    <row r="3399" spans="1:6" x14ac:dyDescent="0.25">
      <c r="A3399" t="s">
        <v>6</v>
      </c>
      <c r="B3399" s="5" t="str">
        <f>HYPERLINK("http://www.broadinstitute.org/gsea/msigdb/cards/GOBP_NEUROTROPHIN_TRK_RECEPTOR_SIGNALING_PATHWAY.html","GOBP_NEUROTROPHIN_TRK_RECEPTOR_SIGNALING_PATHWAY")</f>
        <v>GOBP_NEUROTROPHIN_TRK_RECEPTOR_SIGNALING_PATHWAY</v>
      </c>
      <c r="C3399" s="4">
        <v>32</v>
      </c>
      <c r="D3399" s="3">
        <v>0.99897027000000005</v>
      </c>
      <c r="E3399" s="1">
        <v>0.45406360000000001</v>
      </c>
      <c r="F3399" s="2">
        <v>0.60554090000000005</v>
      </c>
    </row>
    <row r="3400" spans="1:6" x14ac:dyDescent="0.25">
      <c r="A3400" t="s">
        <v>6</v>
      </c>
      <c r="B3400" s="5" t="str">
        <f>HYPERLINK("http://www.broadinstitute.org/gsea/msigdb/cards/GOBP_MICROVILLUS_ASSEMBLY.html","GOBP_MICROVILLUS_ASSEMBLY")</f>
        <v>GOBP_MICROVILLUS_ASSEMBLY</v>
      </c>
      <c r="C3400" s="4">
        <v>20</v>
      </c>
      <c r="D3400" s="3">
        <v>0.99894273</v>
      </c>
      <c r="E3400" s="1">
        <v>0.46393442000000001</v>
      </c>
      <c r="F3400" s="2">
        <v>0.60543199999999997</v>
      </c>
    </row>
    <row r="3401" spans="1:6" x14ac:dyDescent="0.25">
      <c r="A3401" t="s">
        <v>6</v>
      </c>
      <c r="B3401" s="5" t="str">
        <f>HYPERLINK("http://www.broadinstitute.org/gsea/msigdb/cards/GOBP_NEGATIVE_REGULATION_OF_AXON_EXTENSION_INVOLVED_IN_AXON_GUIDANCE.html","GOBP_NEGATIVE_REGULATION_OF_AXON_EXTENSION_INVOLVED_IN_AXON_GUIDANCE")</f>
        <v>GOBP_NEGATIVE_REGULATION_OF_AXON_EXTENSION_INVOLVED_IN_AXON_GUIDANCE</v>
      </c>
      <c r="C3401" s="4">
        <v>26</v>
      </c>
      <c r="D3401" s="3">
        <v>0.99873793</v>
      </c>
      <c r="E3401" s="1">
        <v>0.45193928</v>
      </c>
      <c r="F3401" s="2">
        <v>0.60575769999999995</v>
      </c>
    </row>
    <row r="3402" spans="1:6" x14ac:dyDescent="0.25">
      <c r="A3402" t="s">
        <v>6</v>
      </c>
      <c r="B3402" s="5" t="str">
        <f>HYPERLINK("http://www.broadinstitute.org/gsea/msigdb/cards/GOBP_THYMIC_T_CELL_SELECTION.html","GOBP_THYMIC_T_CELL_SELECTION")</f>
        <v>GOBP_THYMIC_T_CELL_SELECTION</v>
      </c>
      <c r="C3402" s="4">
        <v>28</v>
      </c>
      <c r="D3402" s="3">
        <v>0.99865749999999998</v>
      </c>
      <c r="E3402" s="1">
        <v>0.46404107999999999</v>
      </c>
      <c r="F3402" s="2">
        <v>0.60577725999999998</v>
      </c>
    </row>
    <row r="3403" spans="1:6" x14ac:dyDescent="0.25">
      <c r="A3403" t="s">
        <v>6</v>
      </c>
      <c r="B3403" s="5" t="str">
        <f>HYPERLINK("http://www.broadinstitute.org/gsea/msigdb/cards/GOBP_POSITIVE_REGULATION_OF_PROTEIN_LOCALIZATION_TO_CELL_SURFACE.html","GOBP_POSITIVE_REGULATION_OF_PROTEIN_LOCALIZATION_TO_CELL_SURFACE")</f>
        <v>GOBP_POSITIVE_REGULATION_OF_PROTEIN_LOCALIZATION_TO_CELL_SURFACE</v>
      </c>
      <c r="C3403" s="4">
        <v>24</v>
      </c>
      <c r="D3403" s="3">
        <v>0.99858069999999999</v>
      </c>
      <c r="E3403" s="1">
        <v>0.45077719999999999</v>
      </c>
      <c r="F3403" s="2">
        <v>0.60580310000000004</v>
      </c>
    </row>
    <row r="3404" spans="1:6" x14ac:dyDescent="0.25">
      <c r="A3404" t="s">
        <v>6</v>
      </c>
      <c r="B3404" s="5" t="str">
        <f>HYPERLINK("http://www.broadinstitute.org/gsea/msigdb/cards/GOBP_POSITIVE_REGULATION_OF_COLD_INDUCED_THERMOGENESIS.html","GOBP_POSITIVE_REGULATION_OF_COLD_INDUCED_THERMOGENESIS")</f>
        <v>GOBP_POSITIVE_REGULATION_OF_COLD_INDUCED_THERMOGENESIS</v>
      </c>
      <c r="C3404" s="4">
        <v>101</v>
      </c>
      <c r="D3404" s="3">
        <v>0.99833649999999996</v>
      </c>
      <c r="E3404" s="1">
        <v>0.44460856999999998</v>
      </c>
      <c r="F3404" s="2">
        <v>0.60620669999999999</v>
      </c>
    </row>
    <row r="3405" spans="1:6" x14ac:dyDescent="0.25">
      <c r="A3405" t="s">
        <v>10</v>
      </c>
      <c r="B3405" s="5" t="str">
        <f>HYPERLINK("http://www.broadinstitute.org/gsea/msigdb/cards/REACTOME_INITIATION_OF_NUCLEAR_ENVELOPE_NE_REFORMATION.html","REACTOME_INITIATION_OF_NUCLEAR_ENVELOPE_NE_REFORMATION")</f>
        <v>REACTOME_INITIATION_OF_NUCLEAR_ENVELOPE_NE_REFORMATION</v>
      </c>
      <c r="C3405" s="4">
        <v>17</v>
      </c>
      <c r="D3405" s="3">
        <v>0.99832653999999998</v>
      </c>
      <c r="E3405" s="1">
        <v>0.46086955000000002</v>
      </c>
      <c r="F3405" s="2">
        <v>0.60605520000000002</v>
      </c>
    </row>
    <row r="3406" spans="1:6" x14ac:dyDescent="0.25">
      <c r="A3406" t="s">
        <v>6</v>
      </c>
      <c r="B3406" s="5" t="str">
        <f>HYPERLINK("http://www.broadinstitute.org/gsea/msigdb/cards/GOBP_CELL_VOLUME_HOMEOSTASIS.html","GOBP_CELL_VOLUME_HOMEOSTASIS")</f>
        <v>GOBP_CELL_VOLUME_HOMEOSTASIS</v>
      </c>
      <c r="C3406" s="4">
        <v>39</v>
      </c>
      <c r="D3406" s="3">
        <v>0.99786615000000001</v>
      </c>
      <c r="E3406" s="1">
        <v>0.44499179999999999</v>
      </c>
      <c r="F3406" s="2">
        <v>0.60699999999999998</v>
      </c>
    </row>
    <row r="3407" spans="1:6" x14ac:dyDescent="0.25">
      <c r="A3407" t="s">
        <v>6</v>
      </c>
      <c r="B3407" s="5" t="str">
        <f>HYPERLINK("http://www.broadinstitute.org/gsea/msigdb/cards/GOBP_DETECTION_OF_LIGHT_STIMULUS_INVOLVED_IN_SENSORY_PERCEPTION.html","GOBP_DETECTION_OF_LIGHT_STIMULUS_INVOLVED_IN_SENSORY_PERCEPTION")</f>
        <v>GOBP_DETECTION_OF_LIGHT_STIMULUS_INVOLVED_IN_SENSORY_PERCEPTION</v>
      </c>
      <c r="C3407" s="4">
        <v>24</v>
      </c>
      <c r="D3407" s="3">
        <v>0.99773239999999996</v>
      </c>
      <c r="E3407" s="1">
        <v>0.45553537999999999</v>
      </c>
      <c r="F3407" s="2">
        <v>0.60714703999999997</v>
      </c>
    </row>
    <row r="3408" spans="1:6" x14ac:dyDescent="0.25">
      <c r="A3408" t="s">
        <v>6</v>
      </c>
      <c r="B3408" s="5" t="str">
        <f>HYPERLINK("http://www.broadinstitute.org/gsea/msigdb/cards/GOBP_HEMATOPOIETIC_STEM_CELL_HOMEOSTASIS.html","GOBP_HEMATOPOIETIC_STEM_CELL_HOMEOSTASIS")</f>
        <v>GOBP_HEMATOPOIETIC_STEM_CELL_HOMEOSTASIS</v>
      </c>
      <c r="C3408" s="4">
        <v>30</v>
      </c>
      <c r="D3408" s="3">
        <v>0.99758696999999996</v>
      </c>
      <c r="E3408" s="1">
        <v>0.4408784</v>
      </c>
      <c r="F3408" s="2">
        <v>0.60732010000000003</v>
      </c>
    </row>
    <row r="3409" spans="1:6" x14ac:dyDescent="0.25">
      <c r="A3409" t="s">
        <v>6</v>
      </c>
      <c r="B3409" s="5" t="str">
        <f>HYPERLINK("http://www.broadinstitute.org/gsea/msigdb/cards/GOBP_POSITIVE_REGULATION_OF_NUCLEAR_DIVISION.html","GOBP_POSITIVE_REGULATION_OF_NUCLEAR_DIVISION")</f>
        <v>GOBP_POSITIVE_REGULATION_OF_NUCLEAR_DIVISION</v>
      </c>
      <c r="C3409" s="4">
        <v>63</v>
      </c>
      <c r="D3409" s="3">
        <v>0.99752039999999997</v>
      </c>
      <c r="E3409" s="1">
        <v>0.47317072999999998</v>
      </c>
      <c r="F3409" s="2">
        <v>0.60731040000000003</v>
      </c>
    </row>
    <row r="3410" spans="1:6" x14ac:dyDescent="0.25">
      <c r="A3410" t="s">
        <v>7</v>
      </c>
      <c r="B3410" s="5" t="str">
        <f>HYPERLINK("http://www.broadinstitute.org/gsea/msigdb/cards/GOCC_NEURONAL_DENSE_CORE_VESICLE.html","GOCC_NEURONAL_DENSE_CORE_VESICLE")</f>
        <v>GOCC_NEURONAL_DENSE_CORE_VESICLE</v>
      </c>
      <c r="C3410" s="4">
        <v>34</v>
      </c>
      <c r="D3410" s="3">
        <v>0.99716740000000004</v>
      </c>
      <c r="E3410" s="1">
        <v>0.46757680000000001</v>
      </c>
      <c r="F3410" s="2">
        <v>0.60793200000000003</v>
      </c>
    </row>
    <row r="3411" spans="1:6" x14ac:dyDescent="0.25">
      <c r="A3411" t="s">
        <v>10</v>
      </c>
      <c r="B3411" s="5" t="str">
        <f>HYPERLINK("http://www.broadinstitute.org/gsea/msigdb/cards/REACTOME_TBC_RABGAPS.html","REACTOME_TBC_RABGAPS")</f>
        <v>REACTOME_TBC_RABGAPS</v>
      </c>
      <c r="C3411" s="4">
        <v>34</v>
      </c>
      <c r="D3411" s="3">
        <v>0.99689925000000001</v>
      </c>
      <c r="E3411" s="1">
        <v>0.44983820000000002</v>
      </c>
      <c r="F3411" s="2">
        <v>0.60840994000000004</v>
      </c>
    </row>
    <row r="3412" spans="1:6" x14ac:dyDescent="0.25">
      <c r="A3412" t="s">
        <v>8</v>
      </c>
      <c r="B3412" s="5" t="str">
        <f>HYPERLINK("http://www.broadinstitute.org/gsea/msigdb/cards/GOMF_HISTONE_ACETYLTRANSFERASE_BINDING.html","GOMF_HISTONE_ACETYLTRANSFERASE_BINDING")</f>
        <v>GOMF_HISTONE_ACETYLTRANSFERASE_BINDING</v>
      </c>
      <c r="C3412" s="4">
        <v>30</v>
      </c>
      <c r="D3412" s="3">
        <v>0.99689629999999996</v>
      </c>
      <c r="E3412" s="1">
        <v>0.45409015000000003</v>
      </c>
      <c r="F3412" s="2">
        <v>0.60823846000000004</v>
      </c>
    </row>
    <row r="3413" spans="1:6" x14ac:dyDescent="0.25">
      <c r="A3413" t="s">
        <v>10</v>
      </c>
      <c r="B3413" s="5" t="str">
        <f>HYPERLINK("http://www.broadinstitute.org/gsea/msigdb/cards/REACTOME_CHAPERONIN_MEDIATED_PROTEIN_FOLDING.html","REACTOME_CHAPERONIN_MEDIATED_PROTEIN_FOLDING")</f>
        <v>REACTOME_CHAPERONIN_MEDIATED_PROTEIN_FOLDING</v>
      </c>
      <c r="C3413" s="4">
        <v>38</v>
      </c>
      <c r="D3413" s="3">
        <v>0.99640286</v>
      </c>
      <c r="E3413" s="1">
        <v>0.46127944999999998</v>
      </c>
      <c r="F3413" s="2">
        <v>0.60924769999999995</v>
      </c>
    </row>
    <row r="3414" spans="1:6" x14ac:dyDescent="0.25">
      <c r="A3414" t="s">
        <v>6</v>
      </c>
      <c r="B3414" s="5" t="str">
        <f>HYPERLINK("http://www.broadinstitute.org/gsea/msigdb/cards/GOBP_REGULATION_OF_MITOCHONDRION_ORGANIZATION.html","GOBP_REGULATION_OF_MITOCHONDRION_ORGANIZATION")</f>
        <v>GOBP_REGULATION_OF_MITOCHONDRION_ORGANIZATION</v>
      </c>
      <c r="C3414" s="4">
        <v>142</v>
      </c>
      <c r="D3414" s="3">
        <v>0.99553627</v>
      </c>
      <c r="E3414" s="1">
        <v>0.44189381999999999</v>
      </c>
      <c r="F3414" s="2">
        <v>0.61115489999999995</v>
      </c>
    </row>
    <row r="3415" spans="1:6" x14ac:dyDescent="0.25">
      <c r="A3415" t="s">
        <v>7</v>
      </c>
      <c r="B3415" s="5" t="str">
        <f>HYPERLINK("http://www.broadinstitute.org/gsea/msigdb/cards/GOCC_MICROBODY.html","GOCC_MICROBODY")</f>
        <v>GOCC_MICROBODY</v>
      </c>
      <c r="C3415" s="4">
        <v>149</v>
      </c>
      <c r="D3415" s="3">
        <v>0.99510620000000005</v>
      </c>
      <c r="E3415" s="1">
        <v>0.48115942</v>
      </c>
      <c r="F3415" s="2">
        <v>0.61203647000000005</v>
      </c>
    </row>
    <row r="3416" spans="1:6" x14ac:dyDescent="0.25">
      <c r="A3416" t="s">
        <v>10</v>
      </c>
      <c r="B3416" s="5" t="str">
        <f>HYPERLINK("http://www.broadinstitute.org/gsea/msigdb/cards/REACTOME_NUCLEAR_ENVELOPE_BREAKDOWN.html","REACTOME_NUCLEAR_ENVELOPE_BREAKDOWN")</f>
        <v>REACTOME_NUCLEAR_ENVELOPE_BREAKDOWN</v>
      </c>
      <c r="C3416" s="4">
        <v>47</v>
      </c>
      <c r="D3416" s="3">
        <v>0.99509210000000003</v>
      </c>
      <c r="E3416" s="1">
        <v>0.44480520000000001</v>
      </c>
      <c r="F3416" s="2">
        <v>0.61189369999999998</v>
      </c>
    </row>
    <row r="3417" spans="1:6" x14ac:dyDescent="0.25">
      <c r="A3417" t="s">
        <v>6</v>
      </c>
      <c r="B3417" s="5" t="str">
        <f>HYPERLINK("http://www.broadinstitute.org/gsea/msigdb/cards/GOBP_LABYRINTHINE_LAYER_BLOOD_VESSEL_DEVELOPMENT.html","GOBP_LABYRINTHINE_LAYER_BLOOD_VESSEL_DEVELOPMENT")</f>
        <v>GOBP_LABYRINTHINE_LAYER_BLOOD_VESSEL_DEVELOPMENT</v>
      </c>
      <c r="C3417" s="4">
        <v>25</v>
      </c>
      <c r="D3417" s="3">
        <v>0.99474870000000004</v>
      </c>
      <c r="E3417" s="1">
        <v>0.46557376</v>
      </c>
      <c r="F3417" s="2">
        <v>0.61255519999999997</v>
      </c>
    </row>
    <row r="3418" spans="1:6" x14ac:dyDescent="0.25">
      <c r="A3418" t="s">
        <v>6</v>
      </c>
      <c r="B3418" s="5" t="str">
        <f>HYPERLINK("http://www.broadinstitute.org/gsea/msigdb/cards/GOBP_REGULATION_OF_GAMMA_DELTA_T_CELL_ACTIVATION.html","GOBP_REGULATION_OF_GAMMA_DELTA_T_CELL_ACTIVATION")</f>
        <v>GOBP_REGULATION_OF_GAMMA_DELTA_T_CELL_ACTIVATION</v>
      </c>
      <c r="C3418" s="4">
        <v>15</v>
      </c>
      <c r="D3418" s="3">
        <v>0.99473080000000003</v>
      </c>
      <c r="E3418" s="1">
        <v>0.45422536000000002</v>
      </c>
      <c r="F3418" s="2">
        <v>0.61242830000000004</v>
      </c>
    </row>
    <row r="3419" spans="1:6" x14ac:dyDescent="0.25">
      <c r="A3419" t="s">
        <v>6</v>
      </c>
      <c r="B3419" s="5" t="str">
        <f>HYPERLINK("http://www.broadinstitute.org/gsea/msigdb/cards/GOBP_REGULATION_OF_NERVOUS_SYSTEM_PROCESS.html","GOBP_REGULATION_OF_NERVOUS_SYSTEM_PROCESS")</f>
        <v>GOBP_REGULATION_OF_NERVOUS_SYSTEM_PROCESS</v>
      </c>
      <c r="C3419" s="4">
        <v>161</v>
      </c>
      <c r="D3419" s="3">
        <v>0.99464863999999997</v>
      </c>
      <c r="E3419" s="1">
        <v>0.44117646999999999</v>
      </c>
      <c r="F3419" s="2">
        <v>0.61244993999999997</v>
      </c>
    </row>
    <row r="3420" spans="1:6" x14ac:dyDescent="0.25">
      <c r="A3420" t="s">
        <v>7</v>
      </c>
      <c r="B3420" s="5" t="str">
        <f>HYPERLINK("http://www.broadinstitute.org/gsea/msigdb/cards/GOCC_INCLUSION_BODY.html","GOCC_INCLUSION_BODY")</f>
        <v>GOCC_INCLUSION_BODY</v>
      </c>
      <c r="C3420" s="4">
        <v>76</v>
      </c>
      <c r="D3420" s="3">
        <v>0.9945503</v>
      </c>
      <c r="E3420" s="1">
        <v>0.45023698000000001</v>
      </c>
      <c r="F3420" s="2">
        <v>0.61251639999999996</v>
      </c>
    </row>
    <row r="3421" spans="1:6" x14ac:dyDescent="0.25">
      <c r="A3421" t="s">
        <v>6</v>
      </c>
      <c r="B3421" s="5" t="str">
        <f>HYPERLINK("http://www.broadinstitute.org/gsea/msigdb/cards/GOBP_REGULATION_OF_PROTEIN_LOCALIZATION_TO_ENDOSOME.html","GOBP_REGULATION_OF_PROTEIN_LOCALIZATION_TO_ENDOSOME")</f>
        <v>GOBP_REGULATION_OF_PROTEIN_LOCALIZATION_TO_ENDOSOME</v>
      </c>
      <c r="C3421" s="4">
        <v>15</v>
      </c>
      <c r="D3421" s="3">
        <v>0.99427620000000005</v>
      </c>
      <c r="E3421" s="1">
        <v>0.47120420000000002</v>
      </c>
      <c r="F3421" s="2">
        <v>0.61299329999999996</v>
      </c>
    </row>
    <row r="3422" spans="1:6" x14ac:dyDescent="0.25">
      <c r="A3422" t="s">
        <v>8</v>
      </c>
      <c r="B3422" s="5" t="str">
        <f>HYPERLINK("http://www.broadinstitute.org/gsea/msigdb/cards/GOMF_MOLECULAR_CONDENSATE_SCAFFOLD_ACTIVITY.html","GOMF_MOLECULAR_CONDENSATE_SCAFFOLD_ACTIVITY")</f>
        <v>GOMF_MOLECULAR_CONDENSATE_SCAFFOLD_ACTIVITY</v>
      </c>
      <c r="C3422" s="4">
        <v>31</v>
      </c>
      <c r="D3422" s="3">
        <v>0.9939846</v>
      </c>
      <c r="E3422" s="1">
        <v>0.46398660000000003</v>
      </c>
      <c r="F3422" s="2">
        <v>0.61351895000000001</v>
      </c>
    </row>
    <row r="3423" spans="1:6" x14ac:dyDescent="0.25">
      <c r="A3423" t="s">
        <v>6</v>
      </c>
      <c r="B3423" s="5" t="str">
        <f>HYPERLINK("http://www.broadinstitute.org/gsea/msigdb/cards/GOBP_ORGAN_GROWTH.html","GOBP_ORGAN_GROWTH")</f>
        <v>GOBP_ORGAN_GROWTH</v>
      </c>
      <c r="C3423" s="4">
        <v>208</v>
      </c>
      <c r="D3423" s="3">
        <v>0.99387395000000001</v>
      </c>
      <c r="E3423" s="1">
        <v>0.48011363000000001</v>
      </c>
      <c r="F3423" s="2">
        <v>0.61359019999999997</v>
      </c>
    </row>
    <row r="3424" spans="1:6" x14ac:dyDescent="0.25">
      <c r="A3424" t="s">
        <v>6</v>
      </c>
      <c r="B3424" s="5" t="str">
        <f>HYPERLINK("http://www.broadinstitute.org/gsea/msigdb/cards/GOBP_SOMATIC_DIVERSIFICATION_OF_IMMUNOGLOBULINS.html","GOBP_SOMATIC_DIVERSIFICATION_OF_IMMUNOGLOBULINS")</f>
        <v>GOBP_SOMATIC_DIVERSIFICATION_OF_IMMUNOGLOBULINS</v>
      </c>
      <c r="C3424" s="4">
        <v>71</v>
      </c>
      <c r="D3424" s="3">
        <v>0.99372470000000002</v>
      </c>
      <c r="E3424" s="1">
        <v>0.47217807000000001</v>
      </c>
      <c r="F3424" s="2">
        <v>0.61376869999999994</v>
      </c>
    </row>
    <row r="3425" spans="1:6" x14ac:dyDescent="0.25">
      <c r="A3425" t="s">
        <v>6</v>
      </c>
      <c r="B3425" s="5" t="str">
        <f>HYPERLINK("http://www.broadinstitute.org/gsea/msigdb/cards/GOBP_REGULATION_OF_EXTRACELLULAR_MATRIX_DISASSEMBLY.html","GOBP_REGULATION_OF_EXTRACELLULAR_MATRIX_DISASSEMBLY")</f>
        <v>GOBP_REGULATION_OF_EXTRACELLULAR_MATRIX_DISASSEMBLY</v>
      </c>
      <c r="C3425" s="4">
        <v>16</v>
      </c>
      <c r="D3425" s="3">
        <v>0.99347450000000004</v>
      </c>
      <c r="E3425" s="1">
        <v>0.44863012000000002</v>
      </c>
      <c r="F3425" s="2">
        <v>0.61418503999999996</v>
      </c>
    </row>
    <row r="3426" spans="1:6" x14ac:dyDescent="0.25">
      <c r="A3426" t="s">
        <v>6</v>
      </c>
      <c r="B3426" s="5" t="str">
        <f>HYPERLINK("http://www.broadinstitute.org/gsea/msigdb/cards/GOBP_POSITIVE_REGULATION_OF_CELL_GROWTH.html","GOBP_POSITIVE_REGULATION_OF_CELL_GROWTH")</f>
        <v>GOBP_POSITIVE_REGULATION_OF_CELL_GROWTH</v>
      </c>
      <c r="C3426" s="4">
        <v>194</v>
      </c>
      <c r="D3426" s="3">
        <v>0.99346299999999998</v>
      </c>
      <c r="E3426" s="1">
        <v>0.45977010000000001</v>
      </c>
      <c r="F3426" s="2">
        <v>0.61403375999999998</v>
      </c>
    </row>
    <row r="3427" spans="1:6" x14ac:dyDescent="0.25">
      <c r="A3427" t="s">
        <v>6</v>
      </c>
      <c r="B3427" s="5" t="str">
        <f>HYPERLINK("http://www.broadinstitute.org/gsea/msigdb/cards/GOBP_ADAPTIVE_THERMOGENESIS.html","GOBP_ADAPTIVE_THERMOGENESIS")</f>
        <v>GOBP_ADAPTIVE_THERMOGENESIS</v>
      </c>
      <c r="C3427" s="4">
        <v>172</v>
      </c>
      <c r="D3427" s="3">
        <v>0.99329009999999995</v>
      </c>
      <c r="E3427" s="1">
        <v>0.49067432</v>
      </c>
      <c r="F3427" s="2">
        <v>0.61428309999999997</v>
      </c>
    </row>
    <row r="3428" spans="1:6" x14ac:dyDescent="0.25">
      <c r="A3428" t="s">
        <v>10</v>
      </c>
      <c r="B3428" s="5" t="str">
        <f>HYPERLINK("http://www.broadinstitute.org/gsea/msigdb/cards/REACTOME_COPI_MEDIATED_ANTEROGRADE_TRANSPORT.html","REACTOME_COPI_MEDIATED_ANTEROGRADE_TRANSPORT")</f>
        <v>REACTOME_COPI_MEDIATED_ANTEROGRADE_TRANSPORT</v>
      </c>
      <c r="C3428" s="4">
        <v>93</v>
      </c>
      <c r="D3428" s="3">
        <v>0.99317354000000002</v>
      </c>
      <c r="E3428" s="1">
        <v>0.47094799999999998</v>
      </c>
      <c r="F3428" s="2">
        <v>0.61440189999999995</v>
      </c>
    </row>
    <row r="3429" spans="1:6" x14ac:dyDescent="0.25">
      <c r="A3429" t="s">
        <v>6</v>
      </c>
      <c r="B3429" s="5" t="str">
        <f>HYPERLINK("http://www.broadinstitute.org/gsea/msigdb/cards/GOBP_PYRIMIDINE_DEOXYRIBONUCLEOSIDE_MONOPHOSPHATE_METABOLIC_PROCESS.html","GOBP_PYRIMIDINE_DEOXYRIBONUCLEOSIDE_MONOPHOSPHATE_METABOLIC_PROCESS")</f>
        <v>GOBP_PYRIMIDINE_DEOXYRIBONUCLEOSIDE_MONOPHOSPHATE_METABOLIC_PROCESS</v>
      </c>
      <c r="C3429" s="4">
        <v>16</v>
      </c>
      <c r="D3429" s="3">
        <v>0.99316674000000005</v>
      </c>
      <c r="E3429" s="1">
        <v>0.46891650000000001</v>
      </c>
      <c r="F3429" s="2">
        <v>0.61424279999999998</v>
      </c>
    </row>
    <row r="3430" spans="1:6" x14ac:dyDescent="0.25">
      <c r="A3430" t="s">
        <v>10</v>
      </c>
      <c r="B3430" s="5" t="str">
        <f>HYPERLINK("http://www.broadinstitute.org/gsea/msigdb/cards/REACTOME_ION_CHANNEL_TRANSPORT.html","REACTOME_ION_CHANNEL_TRANSPORT")</f>
        <v>REACTOME_ION_CHANNEL_TRANSPORT</v>
      </c>
      <c r="C3430" s="4">
        <v>167</v>
      </c>
      <c r="D3430" s="3">
        <v>0.99309369999999997</v>
      </c>
      <c r="E3430" s="1">
        <v>0.49648383000000001</v>
      </c>
      <c r="F3430" s="2">
        <v>0.61423050000000001</v>
      </c>
    </row>
    <row r="3431" spans="1:6" x14ac:dyDescent="0.25">
      <c r="A3431" t="s">
        <v>6</v>
      </c>
      <c r="B3431" s="5" t="str">
        <f>HYPERLINK("http://www.broadinstitute.org/gsea/msigdb/cards/GOBP_REGULATION_OF_HORMONE_METABOLIC_PROCESS.html","GOBP_REGULATION_OF_HORMONE_METABOLIC_PROCESS")</f>
        <v>GOBP_REGULATION_OF_HORMONE_METABOLIC_PROCESS</v>
      </c>
      <c r="C3431" s="4">
        <v>56</v>
      </c>
      <c r="D3431" s="3">
        <v>0.99287075000000002</v>
      </c>
      <c r="E3431" s="1">
        <v>0.47384617000000001</v>
      </c>
      <c r="F3431" s="2">
        <v>0.614591</v>
      </c>
    </row>
    <row r="3432" spans="1:6" x14ac:dyDescent="0.25">
      <c r="A3432" t="s">
        <v>6</v>
      </c>
      <c r="B3432" s="5" t="str">
        <f>HYPERLINK("http://www.broadinstitute.org/gsea/msigdb/cards/GOBP_PROTEIN_LOCALIZATION_TO_PHAGOPHORE_ASSEMBLY_SITE.html","GOBP_PROTEIN_LOCALIZATION_TO_PHAGOPHORE_ASSEMBLY_SITE")</f>
        <v>GOBP_PROTEIN_LOCALIZATION_TO_PHAGOPHORE_ASSEMBLY_SITE</v>
      </c>
      <c r="C3432" s="4">
        <v>16</v>
      </c>
      <c r="D3432" s="3">
        <v>0.9924965</v>
      </c>
      <c r="E3432" s="1">
        <v>0.47321429999999998</v>
      </c>
      <c r="F3432" s="2">
        <v>0.61531292999999998</v>
      </c>
    </row>
    <row r="3433" spans="1:6" x14ac:dyDescent="0.25">
      <c r="A3433" t="s">
        <v>6</v>
      </c>
      <c r="B3433" s="5" t="str">
        <f>HYPERLINK("http://www.broadinstitute.org/gsea/msigdb/cards/GOBP_SKIN_DEVELOPMENT.html","GOBP_SKIN_DEVELOPMENT")</f>
        <v>GOBP_SKIN_DEVELOPMENT</v>
      </c>
      <c r="C3433" s="4">
        <v>330</v>
      </c>
      <c r="D3433" s="3">
        <v>0.99235183000000005</v>
      </c>
      <c r="E3433" s="1">
        <v>0.47277557999999997</v>
      </c>
      <c r="F3433" s="2">
        <v>0.61546780000000001</v>
      </c>
    </row>
    <row r="3434" spans="1:6" x14ac:dyDescent="0.25">
      <c r="A3434" t="s">
        <v>8</v>
      </c>
      <c r="B3434" s="5" t="str">
        <f>HYPERLINK("http://www.broadinstitute.org/gsea/msigdb/cards/GOMF_CARBON_OXYGEN_LYASE_ACTIVITY.html","GOMF_CARBON_OXYGEN_LYASE_ACTIVITY")</f>
        <v>GOMF_CARBON_OXYGEN_LYASE_ACTIVITY</v>
      </c>
      <c r="C3434" s="4">
        <v>77</v>
      </c>
      <c r="D3434" s="3">
        <v>0.9919557</v>
      </c>
      <c r="E3434" s="1">
        <v>0.48872181999999997</v>
      </c>
      <c r="F3434" s="2">
        <v>0.6162706</v>
      </c>
    </row>
    <row r="3435" spans="1:6" x14ac:dyDescent="0.25">
      <c r="A3435" t="s">
        <v>6</v>
      </c>
      <c r="B3435" s="5" t="str">
        <f>HYPERLINK("http://www.broadinstitute.org/gsea/msigdb/cards/GOBP_EMBRYONIC_CAMERA_TYPE_EYE_MORPHOGENESIS.html","GOBP_EMBRYONIC_CAMERA_TYPE_EYE_MORPHOGENESIS")</f>
        <v>GOBP_EMBRYONIC_CAMERA_TYPE_EYE_MORPHOGENESIS</v>
      </c>
      <c r="C3435" s="4">
        <v>30</v>
      </c>
      <c r="D3435" s="3">
        <v>0.99170594999999995</v>
      </c>
      <c r="E3435" s="1">
        <v>0.45380874999999998</v>
      </c>
      <c r="F3435" s="2">
        <v>0.61669750000000001</v>
      </c>
    </row>
    <row r="3436" spans="1:6" x14ac:dyDescent="0.25">
      <c r="A3436" t="s">
        <v>10</v>
      </c>
      <c r="B3436" s="5" t="str">
        <f>HYPERLINK("http://www.broadinstitute.org/gsea/msigdb/cards/REACTOME_DNA_DAMAGE_TELOMERE_STRESS_INDUCED_SENESCENCE.html","REACTOME_DNA_DAMAGE_TELOMERE_STRESS_INDUCED_SENESCENCE")</f>
        <v>REACTOME_DNA_DAMAGE_TELOMERE_STRESS_INDUCED_SENESCENCE</v>
      </c>
      <c r="C3436" s="4">
        <v>28</v>
      </c>
      <c r="D3436" s="3">
        <v>0.99135494000000002</v>
      </c>
      <c r="E3436" s="1">
        <v>0.47627118000000002</v>
      </c>
      <c r="F3436" s="2">
        <v>0.61738599999999999</v>
      </c>
    </row>
    <row r="3437" spans="1:6" x14ac:dyDescent="0.25">
      <c r="A3437" t="s">
        <v>8</v>
      </c>
      <c r="B3437" s="5" t="str">
        <f>HYPERLINK("http://www.broadinstitute.org/gsea/msigdb/cards/GOMF_GLUTAMATE_RECEPTOR_BINDING.html","GOMF_GLUTAMATE_RECEPTOR_BINDING")</f>
        <v>GOMF_GLUTAMATE_RECEPTOR_BINDING</v>
      </c>
      <c r="C3437" s="4">
        <v>75</v>
      </c>
      <c r="D3437" s="3">
        <v>0.99118720000000005</v>
      </c>
      <c r="E3437" s="1">
        <v>0.50636939999999997</v>
      </c>
      <c r="F3437" s="2">
        <v>0.61761975000000002</v>
      </c>
    </row>
    <row r="3438" spans="1:6" x14ac:dyDescent="0.25">
      <c r="A3438" t="s">
        <v>6</v>
      </c>
      <c r="B3438" s="5" t="str">
        <f>HYPERLINK("http://www.broadinstitute.org/gsea/msigdb/cards/GOBP_APOPTOTIC_MITOCHONDRIAL_CHANGES.html","GOBP_APOPTOTIC_MITOCHONDRIAL_CHANGES")</f>
        <v>GOBP_APOPTOTIC_MITOCHONDRIAL_CHANGES</v>
      </c>
      <c r="C3438" s="4">
        <v>119</v>
      </c>
      <c r="D3438" s="3">
        <v>0.99052039999999997</v>
      </c>
      <c r="E3438" s="1">
        <v>0.48773006000000002</v>
      </c>
      <c r="F3438" s="2">
        <v>0.61904340000000002</v>
      </c>
    </row>
    <row r="3439" spans="1:6" x14ac:dyDescent="0.25">
      <c r="A3439" t="s">
        <v>6</v>
      </c>
      <c r="B3439" s="5" t="str">
        <f>HYPERLINK("http://www.broadinstitute.org/gsea/msigdb/cards/GOBP_REGULATION_OF_ORGAN_GROWTH.html","GOBP_REGULATION_OF_ORGAN_GROWTH")</f>
        <v>GOBP_REGULATION_OF_ORGAN_GROWTH</v>
      </c>
      <c r="C3439" s="4">
        <v>117</v>
      </c>
      <c r="D3439" s="3">
        <v>0.99021952999999996</v>
      </c>
      <c r="E3439" s="1">
        <v>0.49300155000000001</v>
      </c>
      <c r="F3439" s="2">
        <v>0.61960539999999997</v>
      </c>
    </row>
    <row r="3440" spans="1:6" x14ac:dyDescent="0.25">
      <c r="A3440" t="s">
        <v>6</v>
      </c>
      <c r="B3440" s="5" t="str">
        <f>HYPERLINK("http://www.broadinstitute.org/gsea/msigdb/cards/GOBP_PHOSPHATIDYLETHANOLAMINE_METABOLIC_PROCESS.html","GOBP_PHOSPHATIDYLETHANOLAMINE_METABOLIC_PROCESS")</f>
        <v>GOBP_PHOSPHATIDYLETHANOLAMINE_METABOLIC_PROCESS</v>
      </c>
      <c r="C3440" s="4">
        <v>25</v>
      </c>
      <c r="D3440" s="3">
        <v>0.98976195</v>
      </c>
      <c r="E3440" s="1">
        <v>0.47028862999999999</v>
      </c>
      <c r="F3440" s="2">
        <v>0.62052160000000001</v>
      </c>
    </row>
    <row r="3441" spans="1:6" x14ac:dyDescent="0.25">
      <c r="A3441" t="s">
        <v>8</v>
      </c>
      <c r="B3441" s="5" t="str">
        <f>HYPERLINK("http://www.broadinstitute.org/gsea/msigdb/cards/GOMF_MONOATOMIC_ANION_CHANNEL_ACTIVITY.html","GOMF_MONOATOMIC_ANION_CHANNEL_ACTIVITY")</f>
        <v>GOMF_MONOATOMIC_ANION_CHANNEL_ACTIVITY</v>
      </c>
      <c r="C3441" s="4">
        <v>97</v>
      </c>
      <c r="D3441" s="3">
        <v>0.98946613000000005</v>
      </c>
      <c r="E3441" s="1">
        <v>0.4852071</v>
      </c>
      <c r="F3441" s="2">
        <v>0.62105982999999998</v>
      </c>
    </row>
    <row r="3442" spans="1:6" x14ac:dyDescent="0.25">
      <c r="A3442" t="s">
        <v>6</v>
      </c>
      <c r="B3442" s="5" t="str">
        <f>HYPERLINK("http://www.broadinstitute.org/gsea/msigdb/cards/GOBP_L_ALPHA_AMINO_ACID_TRANSMEMBRANE_TRANSPORT.html","GOBP_L_ALPHA_AMINO_ACID_TRANSMEMBRANE_TRANSPORT")</f>
        <v>GOBP_L_ALPHA_AMINO_ACID_TRANSMEMBRANE_TRANSPORT</v>
      </c>
      <c r="C3442" s="4">
        <v>67</v>
      </c>
      <c r="D3442" s="3">
        <v>0.98941075999999994</v>
      </c>
      <c r="E3442" s="1">
        <v>0.47919875000000001</v>
      </c>
      <c r="F3442" s="2">
        <v>0.62101066000000005</v>
      </c>
    </row>
    <row r="3443" spans="1:6" x14ac:dyDescent="0.25">
      <c r="A3443" t="s">
        <v>6</v>
      </c>
      <c r="B3443" s="5" t="str">
        <f>HYPERLINK("http://www.broadinstitute.org/gsea/msigdb/cards/GOBP_ONE_CARBON_METABOLIC_PROCESS.html","GOBP_ONE_CARBON_METABOLIC_PROCESS")</f>
        <v>GOBP_ONE_CARBON_METABOLIC_PROCESS</v>
      </c>
      <c r="C3443" s="4">
        <v>40</v>
      </c>
      <c r="D3443" s="3">
        <v>0.98935960000000001</v>
      </c>
      <c r="E3443" s="1">
        <v>0.49105692000000001</v>
      </c>
      <c r="F3443" s="2">
        <v>0.62094634999999998</v>
      </c>
    </row>
    <row r="3444" spans="1:6" x14ac:dyDescent="0.25">
      <c r="A3444" t="s">
        <v>6</v>
      </c>
      <c r="B3444" s="5" t="str">
        <f>HYPERLINK("http://www.broadinstitute.org/gsea/msigdb/cards/GOBP_REGULATION_OF_DNA_METHYLATION_DEPENDENT_HETEROCHROMATIN_FORMATION.html","GOBP_REGULATION_OF_DNA_METHYLATION_DEPENDENT_HETEROCHROMATIN_FORMATION")</f>
        <v>GOBP_REGULATION_OF_DNA_METHYLATION_DEPENDENT_HETEROCHROMATIN_FORMATION</v>
      </c>
      <c r="C3444" s="4">
        <v>18</v>
      </c>
      <c r="D3444" s="3">
        <v>0.98932089999999995</v>
      </c>
      <c r="E3444" s="1">
        <v>0.47826087</v>
      </c>
      <c r="F3444" s="2">
        <v>0.62086209999999997</v>
      </c>
    </row>
    <row r="3445" spans="1:6" x14ac:dyDescent="0.25">
      <c r="A3445" t="s">
        <v>6</v>
      </c>
      <c r="B3445" s="5" t="str">
        <f>HYPERLINK("http://www.broadinstitute.org/gsea/msigdb/cards/GOBP_REGULATION_OF_EXTENT_OF_CELL_GROWTH.html","GOBP_REGULATION_OF_EXTENT_OF_CELL_GROWTH")</f>
        <v>GOBP_REGULATION_OF_EXTENT_OF_CELL_GROWTH</v>
      </c>
      <c r="C3445" s="4">
        <v>127</v>
      </c>
      <c r="D3445" s="3">
        <v>0.98892975000000005</v>
      </c>
      <c r="E3445" s="1">
        <v>0.48194661999999999</v>
      </c>
      <c r="F3445" s="2">
        <v>0.6216199</v>
      </c>
    </row>
    <row r="3446" spans="1:6" x14ac:dyDescent="0.25">
      <c r="A3446" t="s">
        <v>6</v>
      </c>
      <c r="B3446" s="5" t="str">
        <f>HYPERLINK("http://www.broadinstitute.org/gsea/msigdb/cards/GOBP_REGULATION_OF_CELL_PROLIFERATION_INVOLVED_IN_KIDNEY_DEVELOPMENT.html","GOBP_REGULATION_OF_CELL_PROLIFERATION_INVOLVED_IN_KIDNEY_DEVELOPMENT")</f>
        <v>GOBP_REGULATION_OF_CELL_PROLIFERATION_INVOLVED_IN_KIDNEY_DEVELOPMENT</v>
      </c>
      <c r="C3446" s="4">
        <v>15</v>
      </c>
      <c r="D3446" s="3">
        <v>0.98867046999999997</v>
      </c>
      <c r="E3446" s="1">
        <v>0.48103449999999998</v>
      </c>
      <c r="F3446" s="2">
        <v>0.62206479999999997</v>
      </c>
    </row>
    <row r="3447" spans="1:6" x14ac:dyDescent="0.25">
      <c r="A3447" t="s">
        <v>6</v>
      </c>
      <c r="B3447" s="5" t="str">
        <f>HYPERLINK("http://www.broadinstitute.org/gsea/msigdb/cards/GOBP_REGULATION_OF_KERATINOCYTE_PROLIFERATION.html","GOBP_REGULATION_OF_KERATINOCYTE_PROLIFERATION")</f>
        <v>GOBP_REGULATION_OF_KERATINOCYTE_PROLIFERATION</v>
      </c>
      <c r="C3447" s="4">
        <v>49</v>
      </c>
      <c r="D3447" s="3">
        <v>0.98814619999999997</v>
      </c>
      <c r="E3447" s="1">
        <v>0.46166133999999998</v>
      </c>
      <c r="F3447" s="2">
        <v>0.62315010000000004</v>
      </c>
    </row>
    <row r="3448" spans="1:6" x14ac:dyDescent="0.25">
      <c r="A3448" t="s">
        <v>6</v>
      </c>
      <c r="B3448" s="5" t="str">
        <f>HYPERLINK("http://www.broadinstitute.org/gsea/msigdb/cards/GOBP_GLYCERALDEHYDE_3_PHOSPHATE_METABOLIC_PROCESS.html","GOBP_GLYCERALDEHYDE_3_PHOSPHATE_METABOLIC_PROCESS")</f>
        <v>GOBP_GLYCERALDEHYDE_3_PHOSPHATE_METABOLIC_PROCESS</v>
      </c>
      <c r="C3448" s="4">
        <v>16</v>
      </c>
      <c r="D3448" s="3">
        <v>0.98762430000000001</v>
      </c>
      <c r="E3448" s="1">
        <v>0.48591548000000001</v>
      </c>
      <c r="F3448" s="2">
        <v>0.62423735999999996</v>
      </c>
    </row>
    <row r="3449" spans="1:6" x14ac:dyDescent="0.25">
      <c r="A3449" t="s">
        <v>6</v>
      </c>
      <c r="B3449" s="5" t="str">
        <f>HYPERLINK("http://www.broadinstitute.org/gsea/msigdb/cards/GOBP_NEGATIVE_REGULATION_OF_ESTABLISHMENT_OF_PROTEIN_LOCALIZATION.html","GOBP_NEGATIVE_REGULATION_OF_ESTABLISHMENT_OF_PROTEIN_LOCALIZATION")</f>
        <v>GOBP_NEGATIVE_REGULATION_OF_ESTABLISHMENT_OF_PROTEIN_LOCALIZATION</v>
      </c>
      <c r="C3449" s="4">
        <v>149</v>
      </c>
      <c r="D3449" s="3">
        <v>0.98758769999999996</v>
      </c>
      <c r="E3449" s="1">
        <v>0.47</v>
      </c>
      <c r="F3449" s="2">
        <v>0.62414190000000003</v>
      </c>
    </row>
    <row r="3450" spans="1:6" x14ac:dyDescent="0.25">
      <c r="A3450" t="s">
        <v>10</v>
      </c>
      <c r="B3450" s="5" t="str">
        <f>HYPERLINK("http://www.broadinstitute.org/gsea/msigdb/cards/REACTOME_POST_TRANSLATIONAL_MODIFICATION_SYNTHESIS_OF_GPI_ANCHORED_PROTEINS.html","REACTOME_POST_TRANSLATIONAL_MODIFICATION_SYNTHESIS_OF_GPI_ANCHORED_PROTEINS")</f>
        <v>REACTOME_POST_TRANSLATIONAL_MODIFICATION_SYNTHESIS_OF_GPI_ANCHORED_PROTEINS</v>
      </c>
      <c r="C3450" s="4">
        <v>83</v>
      </c>
      <c r="D3450" s="3">
        <v>0.98740939999999999</v>
      </c>
      <c r="E3450" s="1">
        <v>0.49074075</v>
      </c>
      <c r="F3450" s="2">
        <v>0.62438079999999996</v>
      </c>
    </row>
    <row r="3451" spans="1:6" x14ac:dyDescent="0.25">
      <c r="A3451" t="s">
        <v>6</v>
      </c>
      <c r="B3451" s="5" t="str">
        <f>HYPERLINK("http://www.broadinstitute.org/gsea/msigdb/cards/GOBP_MUSCLE_ORGAN_MORPHOGENESIS.html","GOBP_MUSCLE_ORGAN_MORPHOGENESIS")</f>
        <v>GOBP_MUSCLE_ORGAN_MORPHOGENESIS</v>
      </c>
      <c r="C3451" s="4">
        <v>89</v>
      </c>
      <c r="D3451" s="3">
        <v>0.98739772999999997</v>
      </c>
      <c r="E3451" s="1">
        <v>0.46536145000000001</v>
      </c>
      <c r="F3451" s="2">
        <v>0.62422599999999995</v>
      </c>
    </row>
    <row r="3452" spans="1:6" x14ac:dyDescent="0.25">
      <c r="A3452" t="s">
        <v>6</v>
      </c>
      <c r="B3452" s="5" t="str">
        <f>HYPERLINK("http://www.broadinstitute.org/gsea/msigdb/cards/GOBP_OSTEOBLAST_PROLIFERATION.html","GOBP_OSTEOBLAST_PROLIFERATION")</f>
        <v>GOBP_OSTEOBLAST_PROLIFERATION</v>
      </c>
      <c r="C3452" s="4">
        <v>37</v>
      </c>
      <c r="D3452" s="3">
        <v>0.98703985999999999</v>
      </c>
      <c r="E3452" s="1">
        <v>0.47413792999999999</v>
      </c>
      <c r="F3452" s="2">
        <v>0.62491830000000004</v>
      </c>
    </row>
    <row r="3453" spans="1:6" x14ac:dyDescent="0.25">
      <c r="A3453" t="s">
        <v>6</v>
      </c>
      <c r="B3453" s="5" t="str">
        <f>HYPERLINK("http://www.broadinstitute.org/gsea/msigdb/cards/GOBP_ATRIAL_CARDIAC_MUSCLE_CELL_TO_AV_NODE_CELL_COMMUNICATION.html","GOBP_ATRIAL_CARDIAC_MUSCLE_CELL_TO_AV_NODE_CELL_COMMUNICATION")</f>
        <v>GOBP_ATRIAL_CARDIAC_MUSCLE_CELL_TO_AV_NODE_CELL_COMMUNICATION</v>
      </c>
      <c r="C3453" s="4">
        <v>15</v>
      </c>
      <c r="D3453" s="3">
        <v>0.98695266000000004</v>
      </c>
      <c r="E3453" s="1">
        <v>0.4806338</v>
      </c>
      <c r="F3453" s="2">
        <v>0.62494682999999995</v>
      </c>
    </row>
    <row r="3454" spans="1:6" x14ac:dyDescent="0.25">
      <c r="A3454" t="s">
        <v>6</v>
      </c>
      <c r="B3454" s="5" t="str">
        <f>HYPERLINK("http://www.broadinstitute.org/gsea/msigdb/cards/GOBP_FOREBRAIN_MORPHOGENESIS.html","GOBP_FOREBRAIN_MORPHOGENESIS")</f>
        <v>GOBP_FOREBRAIN_MORPHOGENESIS</v>
      </c>
      <c r="C3454" s="4">
        <v>18</v>
      </c>
      <c r="D3454" s="3">
        <v>0.98653230000000003</v>
      </c>
      <c r="E3454" s="1">
        <v>0.44230767999999998</v>
      </c>
      <c r="F3454" s="2">
        <v>0.62579817000000004</v>
      </c>
    </row>
    <row r="3455" spans="1:6" x14ac:dyDescent="0.25">
      <c r="A3455" t="s">
        <v>6</v>
      </c>
      <c r="B3455" s="5" t="str">
        <f>HYPERLINK("http://www.broadinstitute.org/gsea/msigdb/cards/GOBP_INTERNEURON_MIGRATION.html","GOBP_INTERNEURON_MIGRATION")</f>
        <v>GOBP_INTERNEURON_MIGRATION</v>
      </c>
      <c r="C3455" s="4">
        <v>16</v>
      </c>
      <c r="D3455" s="3">
        <v>0.9863073</v>
      </c>
      <c r="E3455" s="1">
        <v>0.46286702000000002</v>
      </c>
      <c r="F3455" s="2">
        <v>0.62617060000000002</v>
      </c>
    </row>
    <row r="3456" spans="1:6" x14ac:dyDescent="0.25">
      <c r="A3456" t="s">
        <v>6</v>
      </c>
      <c r="B3456" s="5" t="str">
        <f>HYPERLINK("http://www.broadinstitute.org/gsea/msigdb/cards/GOBP_DOPAMINE_RECEPTOR_SIGNALING_PATHWAY.html","GOBP_DOPAMINE_RECEPTOR_SIGNALING_PATHWAY")</f>
        <v>GOBP_DOPAMINE_RECEPTOR_SIGNALING_PATHWAY</v>
      </c>
      <c r="C3456" s="4">
        <v>38</v>
      </c>
      <c r="D3456" s="3">
        <v>0.98625474999999996</v>
      </c>
      <c r="E3456" s="1">
        <v>0.47029704</v>
      </c>
      <c r="F3456" s="2">
        <v>0.62610734000000001</v>
      </c>
    </row>
    <row r="3457" spans="1:6" x14ac:dyDescent="0.25">
      <c r="A3457" t="s">
        <v>6</v>
      </c>
      <c r="B3457" s="5" t="str">
        <f>HYPERLINK("http://www.broadinstitute.org/gsea/msigdb/cards/GOBP_REGULATION_OF_DENDRITIC_SPINE_MORPHOGENESIS.html","GOBP_REGULATION_OF_DENDRITIC_SPINE_MORPHOGENESIS")</f>
        <v>GOBP_REGULATION_OF_DENDRITIC_SPINE_MORPHOGENESIS</v>
      </c>
      <c r="C3457" s="4">
        <v>59</v>
      </c>
      <c r="D3457" s="3">
        <v>0.98606039999999995</v>
      </c>
      <c r="E3457" s="1">
        <v>0.47846889999999997</v>
      </c>
      <c r="F3457" s="2">
        <v>0.62641910000000001</v>
      </c>
    </row>
    <row r="3458" spans="1:6" x14ac:dyDescent="0.25">
      <c r="A3458" t="s">
        <v>6</v>
      </c>
      <c r="B3458" s="5" t="str">
        <f>HYPERLINK("http://www.broadinstitute.org/gsea/msigdb/cards/GOBP_DEOXYRIBONUCLEOTIDE_BIOSYNTHETIC_PROCESS.html","GOBP_DEOXYRIBONUCLEOTIDE_BIOSYNTHETIC_PROCESS")</f>
        <v>GOBP_DEOXYRIBONUCLEOTIDE_BIOSYNTHETIC_PROCESS</v>
      </c>
      <c r="C3458" s="4">
        <v>17</v>
      </c>
      <c r="D3458" s="3">
        <v>0.98594946000000006</v>
      </c>
      <c r="E3458" s="1">
        <v>0.47079647000000002</v>
      </c>
      <c r="F3458" s="2">
        <v>0.62651749999999995</v>
      </c>
    </row>
    <row r="3459" spans="1:6" x14ac:dyDescent="0.25">
      <c r="A3459" t="s">
        <v>6</v>
      </c>
      <c r="B3459" s="5" t="str">
        <f>HYPERLINK("http://www.broadinstitute.org/gsea/msigdb/cards/GOBP_COCHLEA_MORPHOGENESIS.html","GOBP_COCHLEA_MORPHOGENESIS")</f>
        <v>GOBP_COCHLEA_MORPHOGENESIS</v>
      </c>
      <c r="C3459" s="4">
        <v>28</v>
      </c>
      <c r="D3459" s="3">
        <v>0.98568929999999999</v>
      </c>
      <c r="E3459" s="1">
        <v>0.48754448</v>
      </c>
      <c r="F3459" s="2">
        <v>0.62695849999999997</v>
      </c>
    </row>
    <row r="3460" spans="1:6" x14ac:dyDescent="0.25">
      <c r="A3460" t="s">
        <v>6</v>
      </c>
      <c r="B3460" s="5" t="str">
        <f>HYPERLINK("http://www.broadinstitute.org/gsea/msigdb/cards/GOBP_INNERVATION.html","GOBP_INNERVATION")</f>
        <v>GOBP_INNERVATION</v>
      </c>
      <c r="C3460" s="4">
        <v>32</v>
      </c>
      <c r="D3460" s="3">
        <v>0.98551105999999999</v>
      </c>
      <c r="E3460" s="1">
        <v>0.49916803999999998</v>
      </c>
      <c r="F3460" s="2">
        <v>0.6272141</v>
      </c>
    </row>
    <row r="3461" spans="1:6" x14ac:dyDescent="0.25">
      <c r="A3461" t="s">
        <v>6</v>
      </c>
      <c r="B3461" s="5" t="str">
        <f>HYPERLINK("http://www.broadinstitute.org/gsea/msigdb/cards/GOBP_RESPONSE_TO_CARBOHYDRATE.html","GOBP_RESPONSE_TO_CARBOHYDRATE")</f>
        <v>GOBP_RESPONSE_TO_CARBOHYDRATE</v>
      </c>
      <c r="C3461" s="4">
        <v>205</v>
      </c>
      <c r="D3461" s="3">
        <v>0.98529339999999999</v>
      </c>
      <c r="E3461" s="1">
        <v>0.49470899000000002</v>
      </c>
      <c r="F3461" s="2">
        <v>0.62754799999999999</v>
      </c>
    </row>
    <row r="3462" spans="1:6" x14ac:dyDescent="0.25">
      <c r="A3462" t="s">
        <v>10</v>
      </c>
      <c r="B3462" s="5" t="str">
        <f>HYPERLINK("http://www.broadinstitute.org/gsea/msigdb/cards/REACTOME_INTERFERON_GAMMA_SIGNALING.html","REACTOME_INTERFERON_GAMMA_SIGNALING")</f>
        <v>REACTOME_INTERFERON_GAMMA_SIGNALING</v>
      </c>
      <c r="C3462" s="4">
        <v>19</v>
      </c>
      <c r="D3462" s="3">
        <v>0.98519679999999998</v>
      </c>
      <c r="E3462" s="1">
        <v>0.47413792999999999</v>
      </c>
      <c r="F3462" s="2">
        <v>0.62761080000000002</v>
      </c>
    </row>
    <row r="3463" spans="1:6" x14ac:dyDescent="0.25">
      <c r="A3463" t="s">
        <v>10</v>
      </c>
      <c r="B3463" s="5" t="str">
        <f>HYPERLINK("http://www.broadinstitute.org/gsea/msigdb/cards/REACTOME_PROTEIN_LOCALIZATION.html","REACTOME_PROTEIN_LOCALIZATION")</f>
        <v>REACTOME_PROTEIN_LOCALIZATION</v>
      </c>
      <c r="C3463" s="4">
        <v>100</v>
      </c>
      <c r="D3463" s="3">
        <v>0.98512120000000003</v>
      </c>
      <c r="E3463" s="1">
        <v>0.52547770000000005</v>
      </c>
      <c r="F3463" s="2">
        <v>0.62761469999999997</v>
      </c>
    </row>
    <row r="3464" spans="1:6" x14ac:dyDescent="0.25">
      <c r="A3464" t="s">
        <v>6</v>
      </c>
      <c r="B3464" s="5" t="str">
        <f>HYPERLINK("http://www.broadinstitute.org/gsea/msigdb/cards/GOBP_DEVELOPMENT_OF_PRIMARY_SEXUAL_CHARACTERISTICS.html","GOBP_DEVELOPMENT_OF_PRIMARY_SEXUAL_CHARACTERISTICS")</f>
        <v>GOBP_DEVELOPMENT_OF_PRIMARY_SEXUAL_CHARACTERISTICS</v>
      </c>
      <c r="C3464" s="4">
        <v>232</v>
      </c>
      <c r="D3464" s="3">
        <v>0.98504703999999998</v>
      </c>
      <c r="E3464" s="1">
        <v>0.48850575000000002</v>
      </c>
      <c r="F3464" s="2">
        <v>0.62762225000000005</v>
      </c>
    </row>
    <row r="3465" spans="1:6" x14ac:dyDescent="0.25">
      <c r="A3465" t="s">
        <v>6</v>
      </c>
      <c r="B3465" s="5" t="str">
        <f>HYPERLINK("http://www.broadinstitute.org/gsea/msigdb/cards/GOBP_METAPHASE_CHROMOSOME_ALIGNMENT.html","GOBP_METAPHASE_CHROMOSOME_ALIGNMENT")</f>
        <v>GOBP_METAPHASE_CHROMOSOME_ALIGNMENT</v>
      </c>
      <c r="C3465" s="4">
        <v>90</v>
      </c>
      <c r="D3465" s="3">
        <v>0.98499846000000002</v>
      </c>
      <c r="E3465" s="1">
        <v>0.4921875</v>
      </c>
      <c r="F3465" s="2">
        <v>0.62755846999999998</v>
      </c>
    </row>
    <row r="3466" spans="1:6" x14ac:dyDescent="0.25">
      <c r="A3466" t="s">
        <v>6</v>
      </c>
      <c r="B3466" s="5" t="str">
        <f>HYPERLINK("http://www.broadinstitute.org/gsea/msigdb/cards/GOBP_AUTOPHAGY_OF_MITOCHONDRION.html","GOBP_AUTOPHAGY_OF_MITOCHONDRION")</f>
        <v>GOBP_AUTOPHAGY_OF_MITOCHONDRION</v>
      </c>
      <c r="C3466" s="4">
        <v>89</v>
      </c>
      <c r="D3466" s="3">
        <v>0.98494256000000002</v>
      </c>
      <c r="E3466" s="1">
        <v>0.49375000000000002</v>
      </c>
      <c r="F3466" s="2">
        <v>0.62751376999999997</v>
      </c>
    </row>
    <row r="3467" spans="1:6" x14ac:dyDescent="0.25">
      <c r="A3467" t="s">
        <v>6</v>
      </c>
      <c r="B3467" s="5" t="str">
        <f>HYPERLINK("http://www.broadinstitute.org/gsea/msigdb/cards/GOBP_NEUROTRANSMITTER_METABOLIC_PROCESS.html","GOBP_NEUROTRANSMITTER_METABOLIC_PROCESS")</f>
        <v>GOBP_NEUROTRANSMITTER_METABOLIC_PROCESS</v>
      </c>
      <c r="C3467" s="4">
        <v>27</v>
      </c>
      <c r="D3467" s="3">
        <v>0.98453199999999996</v>
      </c>
      <c r="E3467" s="1">
        <v>0.49300699999999997</v>
      </c>
      <c r="F3467" s="2">
        <v>0.62834140000000005</v>
      </c>
    </row>
    <row r="3468" spans="1:6" x14ac:dyDescent="0.25">
      <c r="A3468" t="s">
        <v>6</v>
      </c>
      <c r="B3468" s="5" t="str">
        <f>HYPERLINK("http://www.broadinstitute.org/gsea/msigdb/cards/GOBP_REGULATION_OF_ISOTYPE_SWITCHING.html","GOBP_REGULATION_OF_ISOTYPE_SWITCHING")</f>
        <v>GOBP_REGULATION_OF_ISOTYPE_SWITCHING</v>
      </c>
      <c r="C3468" s="4">
        <v>38</v>
      </c>
      <c r="D3468" s="3">
        <v>0.98443499999999995</v>
      </c>
      <c r="E3468" s="1">
        <v>0.44975290000000001</v>
      </c>
      <c r="F3468" s="2">
        <v>0.62840309999999999</v>
      </c>
    </row>
    <row r="3469" spans="1:6" x14ac:dyDescent="0.25">
      <c r="A3469" t="s">
        <v>6</v>
      </c>
      <c r="B3469" s="5" t="str">
        <f>HYPERLINK("http://www.broadinstitute.org/gsea/msigdb/cards/GOBP_AMINO_ACID_METABOLIC_PROCESS.html","GOBP_AMINO_ACID_METABOLIC_PROCESS")</f>
        <v>GOBP_AMINO_ACID_METABOLIC_PROCESS</v>
      </c>
      <c r="C3469" s="4">
        <v>265</v>
      </c>
      <c r="D3469" s="3">
        <v>0.98417776999999995</v>
      </c>
      <c r="E3469" s="1">
        <v>0.49735449999999998</v>
      </c>
      <c r="F3469" s="2">
        <v>0.62883529999999999</v>
      </c>
    </row>
    <row r="3470" spans="1:6" x14ac:dyDescent="0.25">
      <c r="A3470" t="s">
        <v>6</v>
      </c>
      <c r="B3470" s="5" t="str">
        <f>HYPERLINK("http://www.broadinstitute.org/gsea/msigdb/cards/GOBP_POSITIVE_REGULATION_OF_AMINO_ACID_TRANSPORT.html","GOBP_POSITIVE_REGULATION_OF_AMINO_ACID_TRANSPORT")</f>
        <v>GOBP_POSITIVE_REGULATION_OF_AMINO_ACID_TRANSPORT</v>
      </c>
      <c r="C3470" s="4">
        <v>33</v>
      </c>
      <c r="D3470" s="3">
        <v>0.98406919999999998</v>
      </c>
      <c r="E3470" s="1">
        <v>0.46422892999999998</v>
      </c>
      <c r="F3470" s="2">
        <v>0.62892110000000001</v>
      </c>
    </row>
    <row r="3471" spans="1:6" x14ac:dyDescent="0.25">
      <c r="A3471" t="s">
        <v>8</v>
      </c>
      <c r="B3471" s="5" t="str">
        <f>HYPERLINK("http://www.broadinstitute.org/gsea/msigdb/cards/GOMF_PHOSPHOTRANSFERASE_ACTIVITY_FOR_OTHER_SUBSTITUTED_PHOSPHATE_GROUPS.html","GOMF_PHOSPHOTRANSFERASE_ACTIVITY_FOR_OTHER_SUBSTITUTED_PHOSPHATE_GROUPS")</f>
        <v>GOMF_PHOSPHOTRANSFERASE_ACTIVITY_FOR_OTHER_SUBSTITUTED_PHOSPHATE_GROUPS</v>
      </c>
      <c r="C3471" s="4">
        <v>21</v>
      </c>
      <c r="D3471" s="3">
        <v>0.98402420000000002</v>
      </c>
      <c r="E3471" s="1">
        <v>0.48844885999999998</v>
      </c>
      <c r="F3471" s="2">
        <v>0.62884474000000001</v>
      </c>
    </row>
    <row r="3472" spans="1:6" x14ac:dyDescent="0.25">
      <c r="A3472" t="s">
        <v>11</v>
      </c>
      <c r="B3472" s="5" t="str">
        <f>HYPERLINK("http://www.broadinstitute.org/gsea/msigdb/cards/WP_MAPK_CASCADE.html","WP_MAPK_CASCADE")</f>
        <v>WP_MAPK_CASCADE</v>
      </c>
      <c r="C3472" s="4">
        <v>28</v>
      </c>
      <c r="D3472" s="3">
        <v>0.98400449999999995</v>
      </c>
      <c r="E3472" s="1">
        <v>0.48166664999999997</v>
      </c>
      <c r="F3472" s="2">
        <v>0.62870970000000004</v>
      </c>
    </row>
    <row r="3473" spans="1:6" x14ac:dyDescent="0.25">
      <c r="A3473" t="s">
        <v>10</v>
      </c>
      <c r="B3473" s="5" t="str">
        <f>HYPERLINK("http://www.broadinstitute.org/gsea/msigdb/cards/REACTOME_COPI_DEPENDENT_GOLGI_TO_ER_RETROGRADE_TRAFFIC.html","REACTOME_COPI_DEPENDENT_GOLGI_TO_ER_RETROGRADE_TRAFFIC")</f>
        <v>REACTOME_COPI_DEPENDENT_GOLGI_TO_ER_RETROGRADE_TRAFFIC</v>
      </c>
      <c r="C3473" s="4">
        <v>95</v>
      </c>
      <c r="D3473" s="3">
        <v>0.98345459999999996</v>
      </c>
      <c r="E3473" s="1">
        <v>0.46352583000000003</v>
      </c>
      <c r="F3473" s="2">
        <v>0.62987459999999995</v>
      </c>
    </row>
    <row r="3474" spans="1:6" x14ac:dyDescent="0.25">
      <c r="A3474" t="s">
        <v>6</v>
      </c>
      <c r="B3474" s="5" t="str">
        <f>HYPERLINK("http://www.broadinstitute.org/gsea/msigdb/cards/GOBP_NEGATIVE_REGULATION_OF_HEART_RATE.html","GOBP_NEGATIVE_REGULATION_OF_HEART_RATE")</f>
        <v>GOBP_NEGATIVE_REGULATION_OF_HEART_RATE</v>
      </c>
      <c r="C3474" s="4">
        <v>16</v>
      </c>
      <c r="D3474" s="3">
        <v>0.9830314</v>
      </c>
      <c r="E3474" s="1">
        <v>0.47849459999999999</v>
      </c>
      <c r="F3474" s="2">
        <v>0.63072132999999997</v>
      </c>
    </row>
    <row r="3475" spans="1:6" x14ac:dyDescent="0.25">
      <c r="A3475" t="s">
        <v>6</v>
      </c>
      <c r="B3475" s="5" t="str">
        <f>HYPERLINK("http://www.broadinstitute.org/gsea/msigdb/cards/GOBP_DETECTION_OF_LIGHT_STIMULUS.html","GOBP_DETECTION_OF_LIGHT_STIMULUS")</f>
        <v>GOBP_DETECTION_OF_LIGHT_STIMULUS</v>
      </c>
      <c r="C3475" s="4">
        <v>52</v>
      </c>
      <c r="D3475" s="3">
        <v>0.98231332999999998</v>
      </c>
      <c r="E3475" s="1">
        <v>0.46808509999999998</v>
      </c>
      <c r="F3475" s="2">
        <v>0.63225549999999997</v>
      </c>
    </row>
    <row r="3476" spans="1:6" x14ac:dyDescent="0.25">
      <c r="A3476" t="s">
        <v>10</v>
      </c>
      <c r="B3476" s="5" t="str">
        <f>HYPERLINK("http://www.broadinstitute.org/gsea/msigdb/cards/REACTOME_AMINO_ACID_TRANSPORT_ACROSS_THE_PLASMA_MEMBRANE.html","REACTOME_AMINO_ACID_TRANSPORT_ACROSS_THE_PLASMA_MEMBRANE")</f>
        <v>REACTOME_AMINO_ACID_TRANSPORT_ACROSS_THE_PLASMA_MEMBRANE</v>
      </c>
      <c r="C3476" s="4">
        <v>31</v>
      </c>
      <c r="D3476" s="3">
        <v>0.98228329999999997</v>
      </c>
      <c r="E3476" s="1">
        <v>0.4732577</v>
      </c>
      <c r="F3476" s="2">
        <v>0.63214250000000005</v>
      </c>
    </row>
    <row r="3477" spans="1:6" x14ac:dyDescent="0.25">
      <c r="A3477" t="s">
        <v>8</v>
      </c>
      <c r="B3477" s="5" t="str">
        <f>HYPERLINK("http://www.broadinstitute.org/gsea/msigdb/cards/GOMF_ABC_TYPE_XENOBIOTIC_TRANSPORTER_ACTIVITY.html","GOMF_ABC_TYPE_XENOBIOTIC_TRANSPORTER_ACTIVITY")</f>
        <v>GOMF_ABC_TYPE_XENOBIOTIC_TRANSPORTER_ACTIVITY</v>
      </c>
      <c r="C3477" s="4">
        <v>17</v>
      </c>
      <c r="D3477" s="3">
        <v>0.98165714999999998</v>
      </c>
      <c r="E3477" s="1">
        <v>0.47404844000000002</v>
      </c>
      <c r="F3477" s="2">
        <v>0.63350209999999996</v>
      </c>
    </row>
    <row r="3478" spans="1:6" x14ac:dyDescent="0.25">
      <c r="A3478" t="s">
        <v>6</v>
      </c>
      <c r="B3478" s="5" t="str">
        <f>HYPERLINK("http://www.broadinstitute.org/gsea/msigdb/cards/GOBP_POSITIVE_REGULATION_OF_ATP_METABOLIC_PROCESS.html","GOBP_POSITIVE_REGULATION_OF_ATP_METABOLIC_PROCESS")</f>
        <v>GOBP_POSITIVE_REGULATION_OF_ATP_METABOLIC_PROCESS</v>
      </c>
      <c r="C3478" s="4">
        <v>18</v>
      </c>
      <c r="D3478" s="3">
        <v>0.98160153999999999</v>
      </c>
      <c r="E3478" s="1">
        <v>0.46977546999999997</v>
      </c>
      <c r="F3478" s="2">
        <v>0.63345116000000001</v>
      </c>
    </row>
    <row r="3479" spans="1:6" x14ac:dyDescent="0.25">
      <c r="A3479" t="s">
        <v>6</v>
      </c>
      <c r="B3479" s="5" t="str">
        <f>HYPERLINK("http://www.broadinstitute.org/gsea/msigdb/cards/GOBP_NEURAL_TUBE_DEVELOPMENT.html","GOBP_NEURAL_TUBE_DEVELOPMENT")</f>
        <v>GOBP_NEURAL_TUBE_DEVELOPMENT</v>
      </c>
      <c r="C3479" s="4">
        <v>196</v>
      </c>
      <c r="D3479" s="3">
        <v>0.98157209999999995</v>
      </c>
      <c r="E3479" s="1">
        <v>0.48735954999999997</v>
      </c>
      <c r="F3479" s="2">
        <v>0.63333600000000001</v>
      </c>
    </row>
    <row r="3480" spans="1:6" x14ac:dyDescent="0.25">
      <c r="A3480" t="s">
        <v>6</v>
      </c>
      <c r="B3480" s="5" t="str">
        <f>HYPERLINK("http://www.broadinstitute.org/gsea/msigdb/cards/GOBP_CELLULAR_NITROGEN_COMPOUND_CATABOLIC_PROCESS.html","GOBP_CELLULAR_NITROGEN_COMPOUND_CATABOLIC_PROCESS")</f>
        <v>GOBP_CELLULAR_NITROGEN_COMPOUND_CATABOLIC_PROCESS</v>
      </c>
      <c r="C3480" s="4">
        <v>425</v>
      </c>
      <c r="D3480" s="3">
        <v>0.98151343999999996</v>
      </c>
      <c r="E3480" s="1">
        <v>0.51259445999999997</v>
      </c>
      <c r="F3480" s="2">
        <v>0.63328960000000001</v>
      </c>
    </row>
    <row r="3481" spans="1:6" x14ac:dyDescent="0.25">
      <c r="A3481" t="s">
        <v>6</v>
      </c>
      <c r="B3481" s="5" t="str">
        <f>HYPERLINK("http://www.broadinstitute.org/gsea/msigdb/cards/GOBP_STEM_CELL_DEVELOPMENT.html","GOBP_STEM_CELL_DEVELOPMENT")</f>
        <v>GOBP_STEM_CELL_DEVELOPMENT</v>
      </c>
      <c r="C3481" s="4">
        <v>94</v>
      </c>
      <c r="D3481" s="3">
        <v>0.98107489999999997</v>
      </c>
      <c r="E3481" s="1">
        <v>0.49924584999999999</v>
      </c>
      <c r="F3481" s="2">
        <v>0.63419734999999999</v>
      </c>
    </row>
    <row r="3482" spans="1:6" x14ac:dyDescent="0.25">
      <c r="A3482" t="s">
        <v>6</v>
      </c>
      <c r="B3482" s="5" t="str">
        <f>HYPERLINK("http://www.broadinstitute.org/gsea/msigdb/cards/GOBP_NEGATIVE_REGULATION_OF_SMOOTH_MUSCLE_CELL_PROLIFERATION.html","GOBP_NEGATIVE_REGULATION_OF_SMOOTH_MUSCLE_CELL_PROLIFERATION")</f>
        <v>GOBP_NEGATIVE_REGULATION_OF_SMOOTH_MUSCLE_CELL_PROLIFERATION</v>
      </c>
      <c r="C3482" s="4">
        <v>71</v>
      </c>
      <c r="D3482" s="3">
        <v>0.98101103000000001</v>
      </c>
      <c r="E3482" s="1">
        <v>0.49308755999999998</v>
      </c>
      <c r="F3482" s="2">
        <v>0.63418839999999999</v>
      </c>
    </row>
    <row r="3483" spans="1:6" x14ac:dyDescent="0.25">
      <c r="A3483" t="s">
        <v>6</v>
      </c>
      <c r="B3483" s="5" t="str">
        <f>HYPERLINK("http://www.broadinstitute.org/gsea/msigdb/cards/GOBP_CYTOPLASM_ORGANIZATION.html","GOBP_CYTOPLASM_ORGANIZATION")</f>
        <v>GOBP_CYTOPLASM_ORGANIZATION</v>
      </c>
      <c r="C3483" s="4">
        <v>17</v>
      </c>
      <c r="D3483" s="3">
        <v>0.98047969999999995</v>
      </c>
      <c r="E3483" s="1">
        <v>0.50751250000000003</v>
      </c>
      <c r="F3483" s="2">
        <v>0.63530929999999997</v>
      </c>
    </row>
    <row r="3484" spans="1:6" x14ac:dyDescent="0.25">
      <c r="A3484" t="s">
        <v>6</v>
      </c>
      <c r="B3484" s="5" t="str">
        <f>HYPERLINK("http://www.broadinstitute.org/gsea/msigdb/cards/GOBP_NEGATIVE_REGULATION_OF_CALCIUM_MEDIATED_SIGNALING.html","GOBP_NEGATIVE_REGULATION_OF_CALCIUM_MEDIATED_SIGNALING")</f>
        <v>GOBP_NEGATIVE_REGULATION_OF_CALCIUM_MEDIATED_SIGNALING</v>
      </c>
      <c r="C3484" s="4">
        <v>22</v>
      </c>
      <c r="D3484" s="3">
        <v>0.98036639999999997</v>
      </c>
      <c r="E3484" s="1">
        <v>0.47674417000000002</v>
      </c>
      <c r="F3484" s="2">
        <v>0.63540065000000001</v>
      </c>
    </row>
    <row r="3485" spans="1:6" x14ac:dyDescent="0.25">
      <c r="A3485" t="s">
        <v>6</v>
      </c>
      <c r="B3485" s="5" t="str">
        <f>HYPERLINK("http://www.broadinstitute.org/gsea/msigdb/cards/GOBP_POSITIVE_REGULATION_OF_PROTEIN_DEPOLYMERIZATION.html","GOBP_POSITIVE_REGULATION_OF_PROTEIN_DEPOLYMERIZATION")</f>
        <v>GOBP_POSITIVE_REGULATION_OF_PROTEIN_DEPOLYMERIZATION</v>
      </c>
      <c r="C3485" s="4">
        <v>18</v>
      </c>
      <c r="D3485" s="3">
        <v>0.97897524000000002</v>
      </c>
      <c r="E3485" s="1">
        <v>0.50085473000000003</v>
      </c>
      <c r="F3485" s="2">
        <v>0.63858809999999999</v>
      </c>
    </row>
    <row r="3486" spans="1:6" x14ac:dyDescent="0.25">
      <c r="A3486" t="s">
        <v>6</v>
      </c>
      <c r="B3486" s="5" t="str">
        <f>HYPERLINK("http://www.broadinstitute.org/gsea/msigdb/cards/GOBP_POSTSYNAPTIC_SPECIALIZATION_ASSEMBLY.html","GOBP_POSTSYNAPTIC_SPECIALIZATION_ASSEMBLY")</f>
        <v>GOBP_POSTSYNAPTIC_SPECIALIZATION_ASSEMBLY</v>
      </c>
      <c r="C3486" s="4">
        <v>38</v>
      </c>
      <c r="D3486" s="3">
        <v>0.97893834000000002</v>
      </c>
      <c r="E3486" s="1">
        <v>0.50340134000000003</v>
      </c>
      <c r="F3486" s="2">
        <v>0.63850379999999995</v>
      </c>
    </row>
    <row r="3487" spans="1:6" x14ac:dyDescent="0.25">
      <c r="A3487" t="s">
        <v>11</v>
      </c>
      <c r="B3487" s="5" t="str">
        <f>HYPERLINK("http://www.broadinstitute.org/gsea/msigdb/cards/WP_SELENIUM_METABOLISM_SELENOPROTEINS.html","WP_SELENIUM_METABOLISM_SELENOPROTEINS")</f>
        <v>WP_SELENIUM_METABOLISM_SELENOPROTEINS</v>
      </c>
      <c r="C3487" s="4">
        <v>46</v>
      </c>
      <c r="D3487" s="3">
        <v>0.97881996999999998</v>
      </c>
      <c r="E3487" s="1">
        <v>0.48196719999999998</v>
      </c>
      <c r="F3487" s="2">
        <v>0.63860419999999996</v>
      </c>
    </row>
    <row r="3488" spans="1:6" x14ac:dyDescent="0.25">
      <c r="A3488" t="s">
        <v>6</v>
      </c>
      <c r="B3488" s="5" t="str">
        <f>HYPERLINK("http://www.broadinstitute.org/gsea/msigdb/cards/GOBP_CARDIAC_MUSCLE_CELL_ACTION_POTENTIAL_INVOLVED_IN_CONTRACTION.html","GOBP_CARDIAC_MUSCLE_CELL_ACTION_POTENTIAL_INVOLVED_IN_CONTRACTION")</f>
        <v>GOBP_CARDIAC_MUSCLE_CELL_ACTION_POTENTIAL_INVOLVED_IN_CONTRACTION</v>
      </c>
      <c r="C3488" s="4">
        <v>42</v>
      </c>
      <c r="D3488" s="3">
        <v>0.97869810000000002</v>
      </c>
      <c r="E3488" s="1">
        <v>0.49348533</v>
      </c>
      <c r="F3488" s="2">
        <v>0.63872605999999998</v>
      </c>
    </row>
    <row r="3489" spans="1:6" x14ac:dyDescent="0.25">
      <c r="A3489" t="s">
        <v>7</v>
      </c>
      <c r="B3489" s="5" t="str">
        <f>HYPERLINK("http://www.broadinstitute.org/gsea/msigdb/cards/GOCC_SARCOLEMMA.html","GOCC_SARCOLEMMA")</f>
        <v>GOCC_SARCOLEMMA</v>
      </c>
      <c r="C3489" s="4">
        <v>169</v>
      </c>
      <c r="D3489" s="3">
        <v>0.97850570000000003</v>
      </c>
      <c r="E3489" s="1">
        <v>0.51734100000000005</v>
      </c>
      <c r="F3489" s="2">
        <v>0.63900950000000001</v>
      </c>
    </row>
    <row r="3490" spans="1:6" x14ac:dyDescent="0.25">
      <c r="A3490" t="s">
        <v>6</v>
      </c>
      <c r="B3490" s="5" t="str">
        <f>HYPERLINK("http://www.broadinstitute.org/gsea/msigdb/cards/GOBP_NEGATIVE_REGULATION_OF_AXONOGENESIS.html","GOBP_NEGATIVE_REGULATION_OF_AXONOGENESIS")</f>
        <v>GOBP_NEGATIVE_REGULATION_OF_AXONOGENESIS</v>
      </c>
      <c r="C3490" s="4">
        <v>70</v>
      </c>
      <c r="D3490" s="3">
        <v>0.97841610000000001</v>
      </c>
      <c r="E3490" s="1">
        <v>0.48177495999999997</v>
      </c>
      <c r="F3490" s="2">
        <v>0.63906865999999996</v>
      </c>
    </row>
    <row r="3491" spans="1:6" x14ac:dyDescent="0.25">
      <c r="A3491" t="s">
        <v>6</v>
      </c>
      <c r="B3491" s="5" t="str">
        <f>HYPERLINK("http://www.broadinstitute.org/gsea/msigdb/cards/GOBP_NEGATIVE_REGULATION_OF_DEVELOPMENTAL_GROWTH.html","GOBP_NEGATIVE_REGULATION_OF_DEVELOPMENTAL_GROWTH")</f>
        <v>GOBP_NEGATIVE_REGULATION_OF_DEVELOPMENTAL_GROWTH</v>
      </c>
      <c r="C3491" s="4">
        <v>125</v>
      </c>
      <c r="D3491" s="3">
        <v>0.9783676</v>
      </c>
      <c r="E3491" s="1">
        <v>0.50154319999999997</v>
      </c>
      <c r="F3491" s="2">
        <v>0.63900699999999999</v>
      </c>
    </row>
    <row r="3492" spans="1:6" x14ac:dyDescent="0.25">
      <c r="A3492" t="s">
        <v>6</v>
      </c>
      <c r="B3492" s="5" t="str">
        <f>HYPERLINK("http://www.broadinstitute.org/gsea/msigdb/cards/GOBP_INTRACILIARY_TRANSPORT.html","GOBP_INTRACILIARY_TRANSPORT")</f>
        <v>GOBP_INTRACILIARY_TRANSPORT</v>
      </c>
      <c r="C3492" s="4">
        <v>53</v>
      </c>
      <c r="D3492" s="3">
        <v>0.97818689999999997</v>
      </c>
      <c r="E3492" s="1">
        <v>0.49525318000000002</v>
      </c>
      <c r="F3492" s="2">
        <v>0.63926269999999996</v>
      </c>
    </row>
    <row r="3493" spans="1:6" x14ac:dyDescent="0.25">
      <c r="A3493" t="s">
        <v>8</v>
      </c>
      <c r="B3493" s="5" t="str">
        <f>HYPERLINK("http://www.broadinstitute.org/gsea/msigdb/cards/GOMF_OXIDOREDUCTASE_ACTIVITY_ACTING_ON_PAIRED_DONORS_WITH_INCORPORATION_OR_REDUCTION_OF_MOLECULAR_OXYGEN.html","GOMF_OXIDOREDUCTASE_ACTIVITY_ACTING_ON_PAIRED_DONORS_WITH_INCORPORATION_OR_REDUCTION_OF_MOLECULAR_OXYGEN")</f>
        <v>GOMF_OXIDOREDUCTASE_ACTIVITY_ACTING_ON_PAIRED_DONORS_WITH_INCORPORATION_OR_REDUCTION_OF_MOLECULAR_OXYGEN</v>
      </c>
      <c r="C3493" s="4">
        <v>202</v>
      </c>
      <c r="D3493" s="3">
        <v>0.97815549999999996</v>
      </c>
      <c r="E3493" s="1">
        <v>0.53701012999999997</v>
      </c>
      <c r="F3493" s="2">
        <v>0.63914746</v>
      </c>
    </row>
    <row r="3494" spans="1:6" x14ac:dyDescent="0.25">
      <c r="A3494" t="s">
        <v>8</v>
      </c>
      <c r="B3494" s="5" t="str">
        <f>HYPERLINK("http://www.broadinstitute.org/gsea/msigdb/cards/GOMF_DOUBLE_STRANDED_RNA_BINDING.html","GOMF_DOUBLE_STRANDED_RNA_BINDING")</f>
        <v>GOMF_DOUBLE_STRANDED_RNA_BINDING</v>
      </c>
      <c r="C3494" s="4">
        <v>81</v>
      </c>
      <c r="D3494" s="3">
        <v>0.9780778</v>
      </c>
      <c r="E3494" s="1">
        <v>0.49386503999999998</v>
      </c>
      <c r="F3494" s="2">
        <v>0.63915630000000001</v>
      </c>
    </row>
    <row r="3495" spans="1:6" x14ac:dyDescent="0.25">
      <c r="A3495" t="s">
        <v>6</v>
      </c>
      <c r="B3495" s="5" t="str">
        <f>HYPERLINK("http://www.broadinstitute.org/gsea/msigdb/cards/GOBP_CHOLESTEROL_EFFLUX.html","GOBP_CHOLESTEROL_EFFLUX")</f>
        <v>GOBP_CHOLESTEROL_EFFLUX</v>
      </c>
      <c r="C3495" s="4">
        <v>63</v>
      </c>
      <c r="D3495" s="3">
        <v>0.97772709999999996</v>
      </c>
      <c r="E3495" s="1">
        <v>0.48381877000000001</v>
      </c>
      <c r="F3495" s="2">
        <v>0.63980967</v>
      </c>
    </row>
    <row r="3496" spans="1:6" x14ac:dyDescent="0.25">
      <c r="A3496" t="s">
        <v>6</v>
      </c>
      <c r="B3496" s="5" t="str">
        <f>HYPERLINK("http://www.broadinstitute.org/gsea/msigdb/cards/GOBP_GOLGI_TO_PLASMA_MEMBRANE_TRANSPORT.html","GOBP_GOLGI_TO_PLASMA_MEMBRANE_TRANSPORT")</f>
        <v>GOBP_GOLGI_TO_PLASMA_MEMBRANE_TRANSPORT</v>
      </c>
      <c r="C3496" s="4">
        <v>58</v>
      </c>
      <c r="D3496" s="3">
        <v>0.97770820000000003</v>
      </c>
      <c r="E3496" s="1">
        <v>0.51669319999999996</v>
      </c>
      <c r="F3496" s="2">
        <v>0.63966940000000005</v>
      </c>
    </row>
    <row r="3497" spans="1:6" x14ac:dyDescent="0.25">
      <c r="A3497" t="s">
        <v>6</v>
      </c>
      <c r="B3497" s="5" t="str">
        <f>HYPERLINK("http://www.broadinstitute.org/gsea/msigdb/cards/GOBP_POSTSYNAPTIC_DENSITY_ASSEMBLY.html","GOBP_POSTSYNAPTIC_DENSITY_ASSEMBLY")</f>
        <v>GOBP_POSTSYNAPTIC_DENSITY_ASSEMBLY</v>
      </c>
      <c r="C3497" s="4">
        <v>27</v>
      </c>
      <c r="D3497" s="3">
        <v>0.97767029999999999</v>
      </c>
      <c r="E3497" s="1">
        <v>0.50582360000000004</v>
      </c>
      <c r="F3497" s="2">
        <v>0.63957450000000005</v>
      </c>
    </row>
    <row r="3498" spans="1:6" x14ac:dyDescent="0.25">
      <c r="A3498" t="s">
        <v>10</v>
      </c>
      <c r="B3498" s="5" t="str">
        <f>HYPERLINK("http://www.broadinstitute.org/gsea/msigdb/cards/REACTOME_THE_CANONICAL_RETINOID_CYCLE_IN_RODS_TWILIGHT_VISION.html","REACTOME_THE_CANONICAL_RETINOID_CYCLE_IN_RODS_TWILIGHT_VISION")</f>
        <v>REACTOME_THE_CANONICAL_RETINOID_CYCLE_IN_RODS_TWILIGHT_VISION</v>
      </c>
      <c r="C3498" s="4">
        <v>19</v>
      </c>
      <c r="D3498" s="3">
        <v>0.97757362999999997</v>
      </c>
      <c r="E3498" s="1">
        <v>0.48167539999999998</v>
      </c>
      <c r="F3498" s="2">
        <v>0.63962834999999996</v>
      </c>
    </row>
    <row r="3499" spans="1:6" x14ac:dyDescent="0.25">
      <c r="A3499" t="s">
        <v>6</v>
      </c>
      <c r="B3499" s="5" t="str">
        <f>HYPERLINK("http://www.broadinstitute.org/gsea/msigdb/cards/GOBP_RESPONSE_TO_PROGESTERONE.html","GOBP_RESPONSE_TO_PROGESTERONE")</f>
        <v>GOBP_RESPONSE_TO_PROGESTERONE</v>
      </c>
      <c r="C3499" s="4">
        <v>19</v>
      </c>
      <c r="D3499" s="3">
        <v>0.97743340000000001</v>
      </c>
      <c r="E3499" s="1">
        <v>0.48347825</v>
      </c>
      <c r="F3499" s="2">
        <v>0.63979129999999995</v>
      </c>
    </row>
    <row r="3500" spans="1:6" x14ac:dyDescent="0.25">
      <c r="A3500" t="s">
        <v>8</v>
      </c>
      <c r="B3500" s="5" t="str">
        <f>HYPERLINK("http://www.broadinstitute.org/gsea/msigdb/cards/GOMF_WIDE_PORE_CHANNEL_ACTIVITY.html","GOMF_WIDE_PORE_CHANNEL_ACTIVITY")</f>
        <v>GOMF_WIDE_PORE_CHANNEL_ACTIVITY</v>
      </c>
      <c r="C3500" s="4">
        <v>38</v>
      </c>
      <c r="D3500" s="3">
        <v>0.97739109999999996</v>
      </c>
      <c r="E3500" s="1">
        <v>0.5</v>
      </c>
      <c r="F3500" s="2">
        <v>0.63971882999999996</v>
      </c>
    </row>
    <row r="3501" spans="1:6" x14ac:dyDescent="0.25">
      <c r="A3501" t="s">
        <v>10</v>
      </c>
      <c r="B3501" s="5" t="str">
        <f>HYPERLINK("http://www.broadinstitute.org/gsea/msigdb/cards/REACTOME_DOWNSTREAM_SIGNALING_OF_ACTIVATED_FGFR2.html","REACTOME_DOWNSTREAM_SIGNALING_OF_ACTIVATED_FGFR2")</f>
        <v>REACTOME_DOWNSTREAM_SIGNALING_OF_ACTIVATED_FGFR2</v>
      </c>
      <c r="C3501" s="4">
        <v>28</v>
      </c>
      <c r="D3501" s="3">
        <v>0.97717964999999996</v>
      </c>
      <c r="E3501" s="1">
        <v>0.51858110000000002</v>
      </c>
      <c r="F3501" s="2">
        <v>0.64005076999999999</v>
      </c>
    </row>
    <row r="3502" spans="1:6" x14ac:dyDescent="0.25">
      <c r="A3502" t="s">
        <v>10</v>
      </c>
      <c r="B3502" s="5" t="str">
        <f>HYPERLINK("http://www.broadinstitute.org/gsea/msigdb/cards/REACTOME_BETA_CATENIN_PHOSPHORYLATION_CASCADE.html","REACTOME_BETA_CATENIN_PHOSPHORYLATION_CASCADE")</f>
        <v>REACTOME_BETA_CATENIN_PHOSPHORYLATION_CASCADE</v>
      </c>
      <c r="C3502" s="4">
        <v>17</v>
      </c>
      <c r="D3502" s="3">
        <v>0.97675670000000003</v>
      </c>
      <c r="E3502" s="1">
        <v>0.49305555000000001</v>
      </c>
      <c r="F3502" s="2">
        <v>0.64090334999999998</v>
      </c>
    </row>
    <row r="3503" spans="1:6" x14ac:dyDescent="0.25">
      <c r="A3503" t="s">
        <v>6</v>
      </c>
      <c r="B3503" s="5" t="str">
        <f>HYPERLINK("http://www.broadinstitute.org/gsea/msigdb/cards/GOBP_BIOGENIC_AMINE_METABOLIC_PROCESS.html","GOBP_BIOGENIC_AMINE_METABOLIC_PROCESS")</f>
        <v>GOBP_BIOGENIC_AMINE_METABOLIC_PROCESS</v>
      </c>
      <c r="C3503" s="4">
        <v>101</v>
      </c>
      <c r="D3503" s="3">
        <v>0.97654693999999997</v>
      </c>
      <c r="E3503" s="1">
        <v>0.50370369999999998</v>
      </c>
      <c r="F3503" s="2">
        <v>0.64123019999999997</v>
      </c>
    </row>
    <row r="3504" spans="1:6" x14ac:dyDescent="0.25">
      <c r="A3504" t="s">
        <v>6</v>
      </c>
      <c r="B3504" s="5" t="str">
        <f>HYPERLINK("http://www.broadinstitute.org/gsea/msigdb/cards/GOBP_REGULATION_OF_PROTEIN_KINASE_C_SIGNALING.html","GOBP_REGULATION_OF_PROTEIN_KINASE_C_SIGNALING")</f>
        <v>GOBP_REGULATION_OF_PROTEIN_KINASE_C_SIGNALING</v>
      </c>
      <c r="C3504" s="4">
        <v>20</v>
      </c>
      <c r="D3504" s="3">
        <v>0.97643274000000002</v>
      </c>
      <c r="E3504" s="1">
        <v>0.46987950000000001</v>
      </c>
      <c r="F3504" s="2">
        <v>0.64130750000000003</v>
      </c>
    </row>
    <row r="3505" spans="1:6" x14ac:dyDescent="0.25">
      <c r="A3505" t="s">
        <v>6</v>
      </c>
      <c r="B3505" s="5" t="str">
        <f>HYPERLINK("http://www.broadinstitute.org/gsea/msigdb/cards/GOBP_PROTEIN_LOCALIZATION_TO_CHROMOSOME_CENTROMERIC_REGION.html","GOBP_PROTEIN_LOCALIZATION_TO_CHROMOSOME_CENTROMERIC_REGION")</f>
        <v>GOBP_PROTEIN_LOCALIZATION_TO_CHROMOSOME_CENTROMERIC_REGION</v>
      </c>
      <c r="C3505" s="4">
        <v>23</v>
      </c>
      <c r="D3505" s="3">
        <v>0.97634430000000005</v>
      </c>
      <c r="E3505" s="1">
        <v>0.46321069999999998</v>
      </c>
      <c r="F3505" s="2">
        <v>0.64132464</v>
      </c>
    </row>
    <row r="3506" spans="1:6" x14ac:dyDescent="0.25">
      <c r="A3506" t="s">
        <v>6</v>
      </c>
      <c r="B3506" s="5" t="str">
        <f>HYPERLINK("http://www.broadinstitute.org/gsea/msigdb/cards/GOBP_INSULIN_METABOLIC_PROCESS.html","GOBP_INSULIN_METABOLIC_PROCESS")</f>
        <v>GOBP_INSULIN_METABOLIC_PROCESS</v>
      </c>
      <c r="C3506" s="4">
        <v>18</v>
      </c>
      <c r="D3506" s="3">
        <v>0.97630702999999996</v>
      </c>
      <c r="E3506" s="1">
        <v>0.47457626000000003</v>
      </c>
      <c r="F3506" s="2">
        <v>0.64122783999999999</v>
      </c>
    </row>
    <row r="3507" spans="1:6" x14ac:dyDescent="0.25">
      <c r="A3507" t="s">
        <v>6</v>
      </c>
      <c r="B3507" s="5" t="str">
        <f>HYPERLINK("http://www.broadinstitute.org/gsea/msigdb/cards/GOBP_NEGATIVE_REGULATION_OF_SMOOTHENED_SIGNALING_PATHWAY.html","GOBP_NEGATIVE_REGULATION_OF_SMOOTHENED_SIGNALING_PATHWAY")</f>
        <v>GOBP_NEGATIVE_REGULATION_OF_SMOOTHENED_SIGNALING_PATHWAY</v>
      </c>
      <c r="C3507" s="4">
        <v>41</v>
      </c>
      <c r="D3507" s="3">
        <v>0.97626760000000001</v>
      </c>
      <c r="E3507" s="1">
        <v>0.49009900000000001</v>
      </c>
      <c r="F3507" s="2">
        <v>0.64114815000000003</v>
      </c>
    </row>
    <row r="3508" spans="1:6" x14ac:dyDescent="0.25">
      <c r="A3508" t="s">
        <v>6</v>
      </c>
      <c r="B3508" s="5" t="str">
        <f>HYPERLINK("http://www.broadinstitute.org/gsea/msigdb/cards/GOBP_LABYRINTHINE_LAYER_DEVELOPMENT.html","GOBP_LABYRINTHINE_LAYER_DEVELOPMENT")</f>
        <v>GOBP_LABYRINTHINE_LAYER_DEVELOPMENT</v>
      </c>
      <c r="C3508" s="4">
        <v>57</v>
      </c>
      <c r="D3508" s="3">
        <v>0.97559410000000002</v>
      </c>
      <c r="E3508" s="1">
        <v>0.49919224000000001</v>
      </c>
      <c r="F3508" s="2">
        <v>0.64264949999999998</v>
      </c>
    </row>
    <row r="3509" spans="1:6" x14ac:dyDescent="0.25">
      <c r="A3509" t="s">
        <v>6</v>
      </c>
      <c r="B3509" s="5" t="str">
        <f>HYPERLINK("http://www.broadinstitute.org/gsea/msigdb/cards/GOBP_PEROXISOME_PROLIFERATOR_ACTIVATED_RECEPTOR_SIGNALING_PATHWAY.html","GOBP_PEROXISOME_PROLIFERATOR_ACTIVATED_RECEPTOR_SIGNALING_PATHWAY")</f>
        <v>GOBP_PEROXISOME_PROLIFERATOR_ACTIVATED_RECEPTOR_SIGNALING_PATHWAY</v>
      </c>
      <c r="C3509" s="4">
        <v>26</v>
      </c>
      <c r="D3509" s="3">
        <v>0.97540970000000005</v>
      </c>
      <c r="E3509" s="1">
        <v>0.49649122000000001</v>
      </c>
      <c r="F3509" s="2">
        <v>0.64290179999999997</v>
      </c>
    </row>
    <row r="3510" spans="1:6" x14ac:dyDescent="0.25">
      <c r="A3510" t="s">
        <v>7</v>
      </c>
      <c r="B3510" s="5" t="str">
        <f>HYPERLINK("http://www.broadinstitute.org/gsea/msigdb/cards/GOCC_CLATHRIN_ADAPTOR_COMPLEX.html","GOCC_CLATHRIN_ADAPTOR_COMPLEX")</f>
        <v>GOCC_CLATHRIN_ADAPTOR_COMPLEX</v>
      </c>
      <c r="C3510" s="4">
        <v>27</v>
      </c>
      <c r="D3510" s="3">
        <v>0.97534715999999999</v>
      </c>
      <c r="E3510" s="1">
        <v>0.5</v>
      </c>
      <c r="F3510" s="2">
        <v>0.6428914</v>
      </c>
    </row>
    <row r="3511" spans="1:6" x14ac:dyDescent="0.25">
      <c r="A3511" t="s">
        <v>6</v>
      </c>
      <c r="B3511" s="5" t="str">
        <f>HYPERLINK("http://www.broadinstitute.org/gsea/msigdb/cards/GOBP_INTRACELLULAR_MONOATOMIC_ANION_HOMEOSTASIS.html","GOBP_INTRACELLULAR_MONOATOMIC_ANION_HOMEOSTASIS")</f>
        <v>GOBP_INTRACELLULAR_MONOATOMIC_ANION_HOMEOSTASIS</v>
      </c>
      <c r="C3511" s="4">
        <v>16</v>
      </c>
      <c r="D3511" s="3">
        <v>0.97495220000000005</v>
      </c>
      <c r="E3511" s="1">
        <v>0.48630136000000002</v>
      </c>
      <c r="F3511" s="2">
        <v>0.64367943999999999</v>
      </c>
    </row>
    <row r="3512" spans="1:6" x14ac:dyDescent="0.25">
      <c r="A3512" t="s">
        <v>6</v>
      </c>
      <c r="B3512" s="5" t="str">
        <f>HYPERLINK("http://www.broadinstitute.org/gsea/msigdb/cards/GOBP_PULMONARY_VALVE_MORPHOGENESIS.html","GOBP_PULMONARY_VALVE_MORPHOGENESIS")</f>
        <v>GOBP_PULMONARY_VALVE_MORPHOGENESIS</v>
      </c>
      <c r="C3512" s="4">
        <v>19</v>
      </c>
      <c r="D3512" s="3">
        <v>0.97426003000000005</v>
      </c>
      <c r="E3512" s="1">
        <v>0.49415692999999999</v>
      </c>
      <c r="F3512" s="2">
        <v>0.64518785000000001</v>
      </c>
    </row>
    <row r="3513" spans="1:6" x14ac:dyDescent="0.25">
      <c r="A3513" t="s">
        <v>6</v>
      </c>
      <c r="B3513" s="5" t="str">
        <f>HYPERLINK("http://www.broadinstitute.org/gsea/msigdb/cards/GOBP_CEREBRAL_CORTEX_DEVELOPMENT.html","GOBP_CEREBRAL_CORTEX_DEVELOPMENT")</f>
        <v>GOBP_CEREBRAL_CORTEX_DEVELOPMENT</v>
      </c>
      <c r="C3513" s="4">
        <v>120</v>
      </c>
      <c r="D3513" s="3">
        <v>0.97414469999999997</v>
      </c>
      <c r="E3513" s="1">
        <v>0.51138085</v>
      </c>
      <c r="F3513" s="2">
        <v>0.64531152999999997</v>
      </c>
    </row>
    <row r="3514" spans="1:6" x14ac:dyDescent="0.25">
      <c r="A3514" t="s">
        <v>6</v>
      </c>
      <c r="B3514" s="5" t="str">
        <f>HYPERLINK("http://www.broadinstitute.org/gsea/msigdb/cards/GOBP_CHROMOSOME_LOCALIZATION.html","GOBP_CHROMOSOME_LOCALIZATION")</f>
        <v>GOBP_CHROMOSOME_LOCALIZATION</v>
      </c>
      <c r="C3514" s="4">
        <v>111</v>
      </c>
      <c r="D3514" s="3">
        <v>0.97385820000000001</v>
      </c>
      <c r="E3514" s="1">
        <v>0.51063829999999999</v>
      </c>
      <c r="F3514" s="2">
        <v>0.64584403999999995</v>
      </c>
    </row>
    <row r="3515" spans="1:6" x14ac:dyDescent="0.25">
      <c r="A3515" t="s">
        <v>6</v>
      </c>
      <c r="B3515" s="5" t="str">
        <f>HYPERLINK("http://www.broadinstitute.org/gsea/msigdb/cards/GOBP_REGULATION_OF_CARDIAC_MUSCLE_CELL_PROLIFERATION.html","GOBP_REGULATION_OF_CARDIAC_MUSCLE_CELL_PROLIFERATION")</f>
        <v>GOBP_REGULATION_OF_CARDIAC_MUSCLE_CELL_PROLIFERATION</v>
      </c>
      <c r="C3515" s="4">
        <v>47</v>
      </c>
      <c r="D3515" s="3">
        <v>0.97381070000000003</v>
      </c>
      <c r="E3515" s="1">
        <v>0.49375000000000002</v>
      </c>
      <c r="F3515" s="2">
        <v>0.64577810000000002</v>
      </c>
    </row>
    <row r="3516" spans="1:6" x14ac:dyDescent="0.25">
      <c r="A3516" t="s">
        <v>5</v>
      </c>
      <c r="B3516" s="5" t="str">
        <f>HYPERLINK("http://www.broadinstitute.org/gsea/msigdb/cards/BIOCARTA_IGF1MTOR_PATHWAY.html","BIOCARTA_IGF1MTOR_PATHWAY")</f>
        <v>BIOCARTA_IGF1MTOR_PATHWAY</v>
      </c>
      <c r="C3516" s="4">
        <v>18</v>
      </c>
      <c r="D3516" s="3">
        <v>0.97356050000000005</v>
      </c>
      <c r="E3516" s="1">
        <v>0.48841353999999998</v>
      </c>
      <c r="F3516" s="2">
        <v>0.64620023999999998</v>
      </c>
    </row>
    <row r="3517" spans="1:6" x14ac:dyDescent="0.25">
      <c r="A3517" t="s">
        <v>6</v>
      </c>
      <c r="B3517" s="5" t="str">
        <f>HYPERLINK("http://www.broadinstitute.org/gsea/msigdb/cards/GOBP_RESPONSE_TO_OXYGEN_RADICAL.html","GOBP_RESPONSE_TO_OXYGEN_RADICAL")</f>
        <v>GOBP_RESPONSE_TO_OXYGEN_RADICAL</v>
      </c>
      <c r="C3517" s="4">
        <v>24</v>
      </c>
      <c r="D3517" s="3">
        <v>0.97337870000000004</v>
      </c>
      <c r="E3517" s="1">
        <v>0.51038059999999996</v>
      </c>
      <c r="F3517" s="2">
        <v>0.6464609</v>
      </c>
    </row>
    <row r="3518" spans="1:6" x14ac:dyDescent="0.25">
      <c r="A3518" t="s">
        <v>8</v>
      </c>
      <c r="B3518" s="5" t="str">
        <f>HYPERLINK("http://www.broadinstitute.org/gsea/msigdb/cards/GOMF_3_5_DNA_HELICASE_ACTIVITY.html","GOMF_3_5_DNA_HELICASE_ACTIVITY")</f>
        <v>GOMF_3_5_DNA_HELICASE_ACTIVITY</v>
      </c>
      <c r="C3518" s="4">
        <v>16</v>
      </c>
      <c r="D3518" s="3">
        <v>0.97322094000000003</v>
      </c>
      <c r="E3518" s="1">
        <v>0.49312714000000002</v>
      </c>
      <c r="F3518" s="2">
        <v>0.64666354999999998</v>
      </c>
    </row>
    <row r="3519" spans="1:6" x14ac:dyDescent="0.25">
      <c r="A3519" t="s">
        <v>10</v>
      </c>
      <c r="B3519" s="5" t="str">
        <f>HYPERLINK("http://www.broadinstitute.org/gsea/msigdb/cards/REACTOME_SHC_MEDIATED_CASCADE_FGFR2.html","REACTOME_SHC_MEDIATED_CASCADE_FGFR2")</f>
        <v>REACTOME_SHC_MEDIATED_CASCADE_FGFR2</v>
      </c>
      <c r="C3519" s="4">
        <v>21</v>
      </c>
      <c r="D3519" s="3">
        <v>0.97321389999999997</v>
      </c>
      <c r="E3519" s="1">
        <v>0.50766610000000001</v>
      </c>
      <c r="F3519" s="2">
        <v>0.64649712999999998</v>
      </c>
    </row>
    <row r="3520" spans="1:6" x14ac:dyDescent="0.25">
      <c r="A3520" t="s">
        <v>6</v>
      </c>
      <c r="B3520" s="5" t="str">
        <f>HYPERLINK("http://www.broadinstitute.org/gsea/msigdb/cards/GOBP_POSTSYNAPTIC_MODULATION_OF_CHEMICAL_SYNAPTIC_TRANSMISSION.html","GOBP_POSTSYNAPTIC_MODULATION_OF_CHEMICAL_SYNAPTIC_TRANSMISSION")</f>
        <v>GOBP_POSTSYNAPTIC_MODULATION_OF_CHEMICAL_SYNAPTIC_TRANSMISSION</v>
      </c>
      <c r="C3520" s="4">
        <v>38</v>
      </c>
      <c r="D3520" s="3">
        <v>0.97319849999999997</v>
      </c>
      <c r="E3520" s="1">
        <v>0.49601275</v>
      </c>
      <c r="F3520" s="2">
        <v>0.64635509999999996</v>
      </c>
    </row>
    <row r="3521" spans="1:6" x14ac:dyDescent="0.25">
      <c r="A3521" t="s">
        <v>6</v>
      </c>
      <c r="B3521" s="5" t="str">
        <f>HYPERLINK("http://www.broadinstitute.org/gsea/msigdb/cards/GOBP_STEROID_BIOSYNTHETIC_PROCESS.html","GOBP_STEROID_BIOSYNTHETIC_PROCESS")</f>
        <v>GOBP_STEROID_BIOSYNTHETIC_PROCESS</v>
      </c>
      <c r="C3521" s="4">
        <v>163</v>
      </c>
      <c r="D3521" s="3">
        <v>0.97216385999999999</v>
      </c>
      <c r="E3521" s="1">
        <v>0.53722625999999996</v>
      </c>
      <c r="F3521" s="2">
        <v>0.64870360000000005</v>
      </c>
    </row>
    <row r="3522" spans="1:6" x14ac:dyDescent="0.25">
      <c r="A3522" t="s">
        <v>6</v>
      </c>
      <c r="B3522" s="5" t="str">
        <f>HYPERLINK("http://www.broadinstitute.org/gsea/msigdb/cards/GOBP_NEGATIVE_REGULATION_OF_POTASSIUM_ION_TRANSMEMBRANE_TRANSPORTER_ACTIVITY.html","GOBP_NEGATIVE_REGULATION_OF_POTASSIUM_ION_TRANSMEMBRANE_TRANSPORTER_ACTIVITY")</f>
        <v>GOBP_NEGATIVE_REGULATION_OF_POTASSIUM_ION_TRANSMEMBRANE_TRANSPORTER_ACTIVITY</v>
      </c>
      <c r="C3522" s="4">
        <v>23</v>
      </c>
      <c r="D3522" s="3">
        <v>0.97214323000000002</v>
      </c>
      <c r="E3522" s="1">
        <v>0.48958333999999998</v>
      </c>
      <c r="F3522" s="2">
        <v>0.64856740000000002</v>
      </c>
    </row>
    <row r="3523" spans="1:6" x14ac:dyDescent="0.25">
      <c r="A3523" t="s">
        <v>6</v>
      </c>
      <c r="B3523" s="5" t="str">
        <f>HYPERLINK("http://www.broadinstitute.org/gsea/msigdb/cards/GOBP_NEGATIVE_REGULATION_OF_MEIOTIC_CELL_CYCLE.html","GOBP_NEGATIVE_REGULATION_OF_MEIOTIC_CELL_CYCLE")</f>
        <v>GOBP_NEGATIVE_REGULATION_OF_MEIOTIC_CELL_CYCLE</v>
      </c>
      <c r="C3523" s="4">
        <v>19</v>
      </c>
      <c r="D3523" s="3">
        <v>0.9707287</v>
      </c>
      <c r="E3523" s="1">
        <v>0.48857644</v>
      </c>
      <c r="F3523" s="2">
        <v>0.65183824000000001</v>
      </c>
    </row>
    <row r="3524" spans="1:6" x14ac:dyDescent="0.25">
      <c r="A3524" t="s">
        <v>6</v>
      </c>
      <c r="B3524" s="5" t="str">
        <f>HYPERLINK("http://www.broadinstitute.org/gsea/msigdb/cards/GOBP_PYRIMIDINE_NUCLEOSIDE_MONOPHOSPHATE_METABOLIC_PROCESS.html","GOBP_PYRIMIDINE_NUCLEOSIDE_MONOPHOSPHATE_METABOLIC_PROCESS")</f>
        <v>GOBP_PYRIMIDINE_NUCLEOSIDE_MONOPHOSPHATE_METABOLIC_PROCESS</v>
      </c>
      <c r="C3524" s="4">
        <v>22</v>
      </c>
      <c r="D3524" s="3">
        <v>0.97056989999999999</v>
      </c>
      <c r="E3524" s="1">
        <v>0.50692040000000005</v>
      </c>
      <c r="F3524" s="2">
        <v>0.65204793000000005</v>
      </c>
    </row>
    <row r="3525" spans="1:6" x14ac:dyDescent="0.25">
      <c r="A3525" t="s">
        <v>6</v>
      </c>
      <c r="B3525" s="5" t="str">
        <f>HYPERLINK("http://www.broadinstitute.org/gsea/msigdb/cards/GOBP_REGULATION_OF_AMIDE_METABOLIC_PROCESS.html","GOBP_REGULATION_OF_AMIDE_METABOLIC_PROCESS")</f>
        <v>GOBP_REGULATION_OF_AMIDE_METABOLIC_PROCESS</v>
      </c>
      <c r="C3525" s="4">
        <v>444</v>
      </c>
      <c r="D3525" s="3">
        <v>0.97007080000000001</v>
      </c>
      <c r="E3525" s="1">
        <v>0.5497512</v>
      </c>
      <c r="F3525" s="2">
        <v>0.65308239999999995</v>
      </c>
    </row>
    <row r="3526" spans="1:6" x14ac:dyDescent="0.25">
      <c r="A3526" t="s">
        <v>8</v>
      </c>
      <c r="B3526" s="5" t="str">
        <f>HYPERLINK("http://www.broadinstitute.org/gsea/msigdb/cards/GOMF_SYNTAXIN_BINDING.html","GOMF_SYNTAXIN_BINDING")</f>
        <v>GOMF_SYNTAXIN_BINDING</v>
      </c>
      <c r="C3526" s="4">
        <v>74</v>
      </c>
      <c r="D3526" s="3">
        <v>0.97001314000000005</v>
      </c>
      <c r="E3526" s="1">
        <v>0.51230770000000003</v>
      </c>
      <c r="F3526" s="2">
        <v>0.65303670000000003</v>
      </c>
    </row>
    <row r="3527" spans="1:6" x14ac:dyDescent="0.25">
      <c r="A3527" t="s">
        <v>6</v>
      </c>
      <c r="B3527" s="5" t="str">
        <f>HYPERLINK("http://www.broadinstitute.org/gsea/msigdb/cards/GOBP_REGULATION_OF_HISTONE_ACETYLATION.html","GOBP_REGULATION_OF_HISTONE_ACETYLATION")</f>
        <v>GOBP_REGULATION_OF_HISTONE_ACETYLATION</v>
      </c>
      <c r="C3527" s="4">
        <v>20</v>
      </c>
      <c r="D3527" s="3">
        <v>0.96991170000000004</v>
      </c>
      <c r="E3527" s="1">
        <v>0.48666668000000002</v>
      </c>
      <c r="F3527" s="2">
        <v>0.65310760000000001</v>
      </c>
    </row>
    <row r="3528" spans="1:6" x14ac:dyDescent="0.25">
      <c r="A3528" t="s">
        <v>6</v>
      </c>
      <c r="B3528" s="5" t="str">
        <f>HYPERLINK("http://www.broadinstitute.org/gsea/msigdb/cards/GOBP_CARDIAC_CHAMBER_MORPHOGENESIS.html","GOBP_CARDIAC_CHAMBER_MORPHOGENESIS")</f>
        <v>GOBP_CARDIAC_CHAMBER_MORPHOGENESIS</v>
      </c>
      <c r="C3528" s="4">
        <v>140</v>
      </c>
      <c r="D3528" s="3">
        <v>0.96990330000000002</v>
      </c>
      <c r="E3528" s="1">
        <v>0.52149000000000001</v>
      </c>
      <c r="F3528" s="2">
        <v>0.65294355000000004</v>
      </c>
    </row>
    <row r="3529" spans="1:6" x14ac:dyDescent="0.25">
      <c r="A3529" t="s">
        <v>6</v>
      </c>
      <c r="B3529" s="5" t="str">
        <f>HYPERLINK("http://www.broadinstitute.org/gsea/msigdb/cards/GOBP_REGULATION_OF_GLYCOLYTIC_PROCESS.html","GOBP_REGULATION_OF_GLYCOLYTIC_PROCESS")</f>
        <v>GOBP_REGULATION_OF_GLYCOLYTIC_PROCESS</v>
      </c>
      <c r="C3529" s="4">
        <v>54</v>
      </c>
      <c r="D3529" s="3">
        <v>0.96930720000000004</v>
      </c>
      <c r="E3529" s="1">
        <v>0.49025974</v>
      </c>
      <c r="F3529" s="2">
        <v>0.65418759999999998</v>
      </c>
    </row>
    <row r="3530" spans="1:6" x14ac:dyDescent="0.25">
      <c r="A3530" t="s">
        <v>6</v>
      </c>
      <c r="B3530" s="5" t="str">
        <f>HYPERLINK("http://www.broadinstitute.org/gsea/msigdb/cards/GOBP_REGULATION_OF_VITAMIN_METABOLIC_PROCESS.html","GOBP_REGULATION_OF_VITAMIN_METABOLIC_PROCESS")</f>
        <v>GOBP_REGULATION_OF_VITAMIN_METABOLIC_PROCESS</v>
      </c>
      <c r="C3530" s="4">
        <v>23</v>
      </c>
      <c r="D3530" s="3">
        <v>0.96912754000000001</v>
      </c>
      <c r="E3530" s="1">
        <v>0.51030929999999997</v>
      </c>
      <c r="F3530" s="2">
        <v>0.65443872999999997</v>
      </c>
    </row>
    <row r="3531" spans="1:6" x14ac:dyDescent="0.25">
      <c r="A3531" t="s">
        <v>6</v>
      </c>
      <c r="B3531" s="5" t="str">
        <f>HYPERLINK("http://www.broadinstitute.org/gsea/msigdb/cards/GOBP_REGULATION_OF_FLAGELLATED_SPERM_MOTILITY.html","GOBP_REGULATION_OF_FLAGELLATED_SPERM_MOTILITY")</f>
        <v>GOBP_REGULATION_OF_FLAGELLATED_SPERM_MOTILITY</v>
      </c>
      <c r="C3531" s="4">
        <v>19</v>
      </c>
      <c r="D3531" s="3">
        <v>0.96903013999999998</v>
      </c>
      <c r="E3531" s="1">
        <v>0.48336253000000001</v>
      </c>
      <c r="F3531" s="2">
        <v>0.65449756000000003</v>
      </c>
    </row>
    <row r="3532" spans="1:6" x14ac:dyDescent="0.25">
      <c r="A3532" t="s">
        <v>6</v>
      </c>
      <c r="B3532" s="5" t="str">
        <f>HYPERLINK("http://www.broadinstitute.org/gsea/msigdb/cards/GOBP_METANEPHRIC_NEPHRON_DEVELOPMENT.html","GOBP_METANEPHRIC_NEPHRON_DEVELOPMENT")</f>
        <v>GOBP_METANEPHRIC_NEPHRON_DEVELOPMENT</v>
      </c>
      <c r="C3532" s="4">
        <v>37</v>
      </c>
      <c r="D3532" s="3">
        <v>0.96888799999999997</v>
      </c>
      <c r="E3532" s="1">
        <v>0.51298699999999997</v>
      </c>
      <c r="F3532" s="2">
        <v>0.65467679999999995</v>
      </c>
    </row>
    <row r="3533" spans="1:6" x14ac:dyDescent="0.25">
      <c r="A3533" t="s">
        <v>6</v>
      </c>
      <c r="B3533" s="5" t="str">
        <f>HYPERLINK("http://www.broadinstitute.org/gsea/msigdb/cards/GOBP_POSITIVE_REGULATION_OF_SYNAPTIC_VESICLE_RECYCLING.html","GOBP_POSITIVE_REGULATION_OF_SYNAPTIC_VESICLE_RECYCLING")</f>
        <v>GOBP_POSITIVE_REGULATION_OF_SYNAPTIC_VESICLE_RECYCLING</v>
      </c>
      <c r="C3533" s="4">
        <v>17</v>
      </c>
      <c r="D3533" s="3">
        <v>0.96878509999999995</v>
      </c>
      <c r="E3533" s="1">
        <v>0.507772</v>
      </c>
      <c r="F3533" s="2">
        <v>0.65473910000000002</v>
      </c>
    </row>
    <row r="3534" spans="1:6" x14ac:dyDescent="0.25">
      <c r="A3534" t="s">
        <v>8</v>
      </c>
      <c r="B3534" s="5" t="str">
        <f>HYPERLINK("http://www.broadinstitute.org/gsea/msigdb/cards/GOMF_NUCLEOTIDASE_ACTIVITY.html","GOMF_NUCLEOTIDASE_ACTIVITY")</f>
        <v>GOMF_NUCLEOTIDASE_ACTIVITY</v>
      </c>
      <c r="C3534" s="4">
        <v>17</v>
      </c>
      <c r="D3534" s="3">
        <v>0.96875155000000002</v>
      </c>
      <c r="E3534" s="1">
        <v>0.49655171999999997</v>
      </c>
      <c r="F3534" s="2">
        <v>0.65463579999999999</v>
      </c>
    </row>
    <row r="3535" spans="1:6" x14ac:dyDescent="0.25">
      <c r="A3535" t="s">
        <v>6</v>
      </c>
      <c r="B3535" s="5" t="str">
        <f>HYPERLINK("http://www.broadinstitute.org/gsea/msigdb/cards/GOBP_CHONDROITIN_SULFATE_PROTEOGLYCAN_BIOSYNTHETIC_PROCESS.html","GOBP_CHONDROITIN_SULFATE_PROTEOGLYCAN_BIOSYNTHETIC_PROCESS")</f>
        <v>GOBP_CHONDROITIN_SULFATE_PROTEOGLYCAN_BIOSYNTHETIC_PROCESS</v>
      </c>
      <c r="C3535" s="4">
        <v>22</v>
      </c>
      <c r="D3535" s="3">
        <v>0.96866759999999996</v>
      </c>
      <c r="E3535" s="1">
        <v>0.5085324</v>
      </c>
      <c r="F3535" s="2">
        <v>0.65466243000000002</v>
      </c>
    </row>
    <row r="3536" spans="1:6" x14ac:dyDescent="0.25">
      <c r="A3536" t="s">
        <v>6</v>
      </c>
      <c r="B3536" s="5" t="str">
        <f>HYPERLINK("http://www.broadinstitute.org/gsea/msigdb/cards/GOBP_PHOSPHATIDYLINOSITOL_METABOLIC_PROCESS.html","GOBP_PHOSPHATIDYLINOSITOL_METABOLIC_PROCESS")</f>
        <v>GOBP_PHOSPHATIDYLINOSITOL_METABOLIC_PROCESS</v>
      </c>
      <c r="C3536" s="4">
        <v>146</v>
      </c>
      <c r="D3536" s="3">
        <v>0.9684277</v>
      </c>
      <c r="E3536" s="1">
        <v>0.51688694999999996</v>
      </c>
      <c r="F3536" s="2">
        <v>0.65507627000000002</v>
      </c>
    </row>
    <row r="3537" spans="1:6" x14ac:dyDescent="0.25">
      <c r="A3537" t="s">
        <v>6</v>
      </c>
      <c r="B3537" s="5" t="str">
        <f>HYPERLINK("http://www.broadinstitute.org/gsea/msigdb/cards/GOBP_REGULATION_OF_AMINE_METABOLIC_PROCESS.html","GOBP_REGULATION_OF_AMINE_METABOLIC_PROCESS")</f>
        <v>GOBP_REGULATION_OF_AMINE_METABOLIC_PROCESS</v>
      </c>
      <c r="C3537" s="4">
        <v>37</v>
      </c>
      <c r="D3537" s="3">
        <v>0.96841949999999999</v>
      </c>
      <c r="E3537" s="1">
        <v>0.51707314999999998</v>
      </c>
      <c r="F3537" s="2">
        <v>0.65491443999999999</v>
      </c>
    </row>
    <row r="3538" spans="1:6" x14ac:dyDescent="0.25">
      <c r="A3538" t="s">
        <v>10</v>
      </c>
      <c r="B3538" s="5" t="str">
        <f>HYPERLINK("http://www.broadinstitute.org/gsea/msigdb/cards/REACTOME_TRANSPORT_OF_INORGANIC_CATIONS_ANIONS_AND_AMINO_ACIDS_OLIGOPEPTIDES.html","REACTOME_TRANSPORT_OF_INORGANIC_CATIONS_ANIONS_AND_AMINO_ACIDS_OLIGOPEPTIDES")</f>
        <v>REACTOME_TRANSPORT_OF_INORGANIC_CATIONS_ANIONS_AND_AMINO_ACIDS_OLIGOPEPTIDES</v>
      </c>
      <c r="C3538" s="4">
        <v>106</v>
      </c>
      <c r="D3538" s="3">
        <v>0.9682402</v>
      </c>
      <c r="E3538" s="1">
        <v>0.52272724999999998</v>
      </c>
      <c r="F3538" s="2">
        <v>0.65515939999999995</v>
      </c>
    </row>
    <row r="3539" spans="1:6" x14ac:dyDescent="0.25">
      <c r="A3539" t="s">
        <v>6</v>
      </c>
      <c r="B3539" s="5" t="str">
        <f>HYPERLINK("http://www.broadinstitute.org/gsea/msigdb/cards/GOBP_MEMBRANE_LIPID_BIOSYNTHETIC_PROCESS.html","GOBP_MEMBRANE_LIPID_BIOSYNTHETIC_PROCESS")</f>
        <v>GOBP_MEMBRANE_LIPID_BIOSYNTHETIC_PROCESS</v>
      </c>
      <c r="C3539" s="4">
        <v>133</v>
      </c>
      <c r="D3539" s="3">
        <v>0.96797865999999999</v>
      </c>
      <c r="E3539" s="1">
        <v>0.52507377</v>
      </c>
      <c r="F3539" s="2">
        <v>0.65558726000000001</v>
      </c>
    </row>
    <row r="3540" spans="1:6" x14ac:dyDescent="0.25">
      <c r="A3540" t="s">
        <v>6</v>
      </c>
      <c r="B3540" s="5" t="str">
        <f>HYPERLINK("http://www.broadinstitute.org/gsea/msigdb/cards/GOBP_ORGANELLE_DISASSEMBLY.html","GOBP_ORGANELLE_DISASSEMBLY")</f>
        <v>GOBP_ORGANELLE_DISASSEMBLY</v>
      </c>
      <c r="C3540" s="4">
        <v>135</v>
      </c>
      <c r="D3540" s="3">
        <v>0.96771585999999998</v>
      </c>
      <c r="E3540" s="1">
        <v>0.53293409999999997</v>
      </c>
      <c r="F3540" s="2">
        <v>0.65607020000000005</v>
      </c>
    </row>
    <row r="3541" spans="1:6" x14ac:dyDescent="0.25">
      <c r="A3541" t="s">
        <v>6</v>
      </c>
      <c r="B3541" s="5" t="str">
        <f>HYPERLINK("http://www.broadinstitute.org/gsea/msigdb/cards/GOBP_REGULATION_OF_CALCIUM_ION_TRANSPORT_INTO_CYTOSOL.html","GOBP_REGULATION_OF_CALCIUM_ION_TRANSPORT_INTO_CYTOSOL")</f>
        <v>GOBP_REGULATION_OF_CALCIUM_ION_TRANSPORT_INTO_CYTOSOL</v>
      </c>
      <c r="C3541" s="4">
        <v>19</v>
      </c>
      <c r="D3541" s="3">
        <v>0.96765785999999998</v>
      </c>
      <c r="E3541" s="1">
        <v>0.48500880000000002</v>
      </c>
      <c r="F3541" s="2">
        <v>0.65602720000000003</v>
      </c>
    </row>
    <row r="3542" spans="1:6" x14ac:dyDescent="0.25">
      <c r="A3542" t="s">
        <v>6</v>
      </c>
      <c r="B3542" s="5" t="str">
        <f>HYPERLINK("http://www.broadinstitute.org/gsea/msigdb/cards/GOBP_ESTABLISHMENT_OF_CELL_POLARITY.html","GOBP_ESTABLISHMENT_OF_CELL_POLARITY")</f>
        <v>GOBP_ESTABLISHMENT_OF_CELL_POLARITY</v>
      </c>
      <c r="C3542" s="4">
        <v>162</v>
      </c>
      <c r="D3542" s="3">
        <v>0.96695640000000005</v>
      </c>
      <c r="E3542" s="1">
        <v>0.52408759999999999</v>
      </c>
      <c r="F3542" s="2">
        <v>0.65755593999999995</v>
      </c>
    </row>
    <row r="3543" spans="1:6" x14ac:dyDescent="0.25">
      <c r="A3543" t="s">
        <v>8</v>
      </c>
      <c r="B3543" s="5" t="str">
        <f>HYPERLINK("http://www.broadinstitute.org/gsea/msigdb/cards/GOMF_RNA_POLYMERASE_II_SPECIFIC_DNA_BINDING_TRANSCRIPTION_FACTOR_BINDING.html","GOMF_RNA_POLYMERASE_II_SPECIFIC_DNA_BINDING_TRANSCRIPTION_FACTOR_BINDING")</f>
        <v>GOMF_RNA_POLYMERASE_II_SPECIFIC_DNA_BINDING_TRANSCRIPTION_FACTOR_BINDING</v>
      </c>
      <c r="C3543" s="4">
        <v>374</v>
      </c>
      <c r="D3543" s="3">
        <v>0.9668139</v>
      </c>
      <c r="E3543" s="1">
        <v>0.56056700000000004</v>
      </c>
      <c r="F3543" s="2">
        <v>0.65773433000000003</v>
      </c>
    </row>
    <row r="3544" spans="1:6" x14ac:dyDescent="0.25">
      <c r="A3544" t="s">
        <v>6</v>
      </c>
      <c r="B3544" s="5" t="str">
        <f>HYPERLINK("http://www.broadinstitute.org/gsea/msigdb/cards/GOBP_RESPONSE_TO_CALCIUM_ION.html","GOBP_RESPONSE_TO_CALCIUM_ION")</f>
        <v>GOBP_RESPONSE_TO_CALCIUM_ION</v>
      </c>
      <c r="C3544" s="4">
        <v>145</v>
      </c>
      <c r="D3544" s="3">
        <v>0.96662223000000003</v>
      </c>
      <c r="E3544" s="1">
        <v>0.51079136000000003</v>
      </c>
      <c r="F3544" s="2">
        <v>0.65802722999999996</v>
      </c>
    </row>
    <row r="3545" spans="1:6" x14ac:dyDescent="0.25">
      <c r="A3545" t="s">
        <v>7</v>
      </c>
      <c r="B3545" s="5" t="str">
        <f>HYPERLINK("http://www.broadinstitute.org/gsea/msigdb/cards/GOCC_CYTOSOLIC_REGION.html","GOCC_CYTOSOLIC_REGION")</f>
        <v>GOCC_CYTOSOLIC_REGION</v>
      </c>
      <c r="C3545" s="4">
        <v>49</v>
      </c>
      <c r="D3545" s="3">
        <v>0.96656304999999998</v>
      </c>
      <c r="E3545" s="1">
        <v>0.52553539999999999</v>
      </c>
      <c r="F3545" s="2">
        <v>0.6579912</v>
      </c>
    </row>
    <row r="3546" spans="1:6" x14ac:dyDescent="0.25">
      <c r="A3546" t="s">
        <v>6</v>
      </c>
      <c r="B3546" s="5" t="str">
        <f>HYPERLINK("http://www.broadinstitute.org/gsea/msigdb/cards/GOBP_CARDIAC_NEURAL_CREST_CELL_DIFFERENTIATION_INVOLVED_IN_HEART_DEVELOPMENT.html","GOBP_CARDIAC_NEURAL_CREST_CELL_DIFFERENTIATION_INVOLVED_IN_HEART_DEVELOPMENT")</f>
        <v>GOBP_CARDIAC_NEURAL_CREST_CELL_DIFFERENTIATION_INVOLVED_IN_HEART_DEVELOPMENT</v>
      </c>
      <c r="C3546" s="4">
        <v>19</v>
      </c>
      <c r="D3546" s="3">
        <v>0.96652119999999997</v>
      </c>
      <c r="E3546" s="1">
        <v>0.53020129999999999</v>
      </c>
      <c r="F3546" s="2">
        <v>0.65789929999999996</v>
      </c>
    </row>
    <row r="3547" spans="1:6" x14ac:dyDescent="0.25">
      <c r="A3547" t="s">
        <v>6</v>
      </c>
      <c r="B3547" s="5" t="str">
        <f>HYPERLINK("http://www.broadinstitute.org/gsea/msigdb/cards/GOBP_RETINAL_METABOLIC_PROCESS.html","GOBP_RETINAL_METABOLIC_PROCESS")</f>
        <v>GOBP_RETINAL_METABOLIC_PROCESS</v>
      </c>
      <c r="C3547" s="4">
        <v>19</v>
      </c>
      <c r="D3547" s="3">
        <v>0.96648407000000003</v>
      </c>
      <c r="E3547" s="1">
        <v>0.4921739</v>
      </c>
      <c r="F3547" s="2">
        <v>0.65779909999999997</v>
      </c>
    </row>
    <row r="3548" spans="1:6" x14ac:dyDescent="0.25">
      <c r="A3548" t="s">
        <v>10</v>
      </c>
      <c r="B3548" s="5" t="str">
        <f>HYPERLINK("http://www.broadinstitute.org/gsea/msigdb/cards/REACTOME_SIGNALING_BY_THE_B_CELL_RECEPTOR_BCR.html","REACTOME_SIGNALING_BY_THE_B_CELL_RECEPTOR_BCR")</f>
        <v>REACTOME_SIGNALING_BY_THE_B_CELL_RECEPTOR_BCR</v>
      </c>
      <c r="C3548" s="4">
        <v>103</v>
      </c>
      <c r="D3548" s="3">
        <v>0.96577690000000005</v>
      </c>
      <c r="E3548" s="1">
        <v>0.54234766999999995</v>
      </c>
      <c r="F3548" s="2">
        <v>0.6593521</v>
      </c>
    </row>
    <row r="3549" spans="1:6" x14ac:dyDescent="0.25">
      <c r="A3549" t="s">
        <v>6</v>
      </c>
      <c r="B3549" s="5" t="str">
        <f>HYPERLINK("http://www.broadinstitute.org/gsea/msigdb/cards/GOBP_REGULATION_OF_TRANSMISSION_OF_NERVE_IMPULSE.html","GOBP_REGULATION_OF_TRANSMISSION_OF_NERVE_IMPULSE")</f>
        <v>GOBP_REGULATION_OF_TRANSMISSION_OF_NERVE_IMPULSE</v>
      </c>
      <c r="C3549" s="4">
        <v>25</v>
      </c>
      <c r="D3549" s="3">
        <v>0.96573836000000002</v>
      </c>
      <c r="E3549" s="1">
        <v>0.50790860000000004</v>
      </c>
      <c r="F3549" s="2">
        <v>0.65925990000000001</v>
      </c>
    </row>
    <row r="3550" spans="1:6" x14ac:dyDescent="0.25">
      <c r="A3550" t="s">
        <v>6</v>
      </c>
      <c r="B3550" s="5" t="str">
        <f>HYPERLINK("http://www.broadinstitute.org/gsea/msigdb/cards/GOBP_REGULATION_OF_NEUROTRANSMITTER_SECRETION.html","GOBP_REGULATION_OF_NEUROTRANSMITTER_SECRETION")</f>
        <v>GOBP_REGULATION_OF_NEUROTRANSMITTER_SECRETION</v>
      </c>
      <c r="C3550" s="4">
        <v>106</v>
      </c>
      <c r="D3550" s="3">
        <v>0.96543179999999995</v>
      </c>
      <c r="E3550" s="1">
        <v>0.51875000000000004</v>
      </c>
      <c r="F3550" s="2">
        <v>0.65984284999999998</v>
      </c>
    </row>
    <row r="3551" spans="1:6" x14ac:dyDescent="0.25">
      <c r="A3551" t="s">
        <v>6</v>
      </c>
      <c r="B3551" s="5" t="str">
        <f>HYPERLINK("http://www.broadinstitute.org/gsea/msigdb/cards/GOBP_CHONDROCYTE_DIFFERENTIATION.html","GOBP_CHONDROCYTE_DIFFERENTIATION")</f>
        <v>GOBP_CHONDROCYTE_DIFFERENTIATION</v>
      </c>
      <c r="C3551" s="4">
        <v>122</v>
      </c>
      <c r="D3551" s="3">
        <v>0.96536520000000003</v>
      </c>
      <c r="E3551" s="1">
        <v>0.54074069999999996</v>
      </c>
      <c r="F3551" s="2">
        <v>0.65981776000000003</v>
      </c>
    </row>
    <row r="3552" spans="1:6" x14ac:dyDescent="0.25">
      <c r="A3552" t="s">
        <v>6</v>
      </c>
      <c r="B3552" s="5" t="str">
        <f>HYPERLINK("http://www.broadinstitute.org/gsea/msigdb/cards/GOBP_POSITIVE_REGULATION_OF_OSTEOBLAST_DIFFERENTIATION.html","GOBP_POSITIVE_REGULATION_OF_OSTEOBLAST_DIFFERENTIATION")</f>
        <v>GOBP_POSITIVE_REGULATION_OF_OSTEOBLAST_DIFFERENTIATION</v>
      </c>
      <c r="C3552" s="4">
        <v>75</v>
      </c>
      <c r="D3552" s="3">
        <v>0.96525000000000005</v>
      </c>
      <c r="E3552" s="1">
        <v>0.54854369999999997</v>
      </c>
      <c r="F3552" s="2">
        <v>0.65991880000000003</v>
      </c>
    </row>
    <row r="3553" spans="1:6" x14ac:dyDescent="0.25">
      <c r="A3553" t="s">
        <v>8</v>
      </c>
      <c r="B3553" s="5" t="str">
        <f>HYPERLINK("http://www.broadinstitute.org/gsea/msigdb/cards/GOMF_OXIDOREDUCTASE_ACTIVITY_ACTING_ON_PAIRED_DONORS_WITH_INCORPORATION_OR_REDUCTION_OF_MOLECULAR_OXYGEN_NAD_P_H_AS_ONE_DONOR_AND_INCORPORATION_OF_ONE_ATOM_OF_OXYGEN.html","GOMF_OXIDOREDUCTASE_ACTIVITY_ACTING_ON_PAIRED_DONORS_WITH_INCORPORATION_OR_REDUCTION_OF_MOLECULAR_OXYGEN_NAD_P_H_AS_ONE_DONOR_AND_INCORPORATION_OF_ONE_ATOM_OF_OXYGEN")</f>
        <v>GOMF_OXIDOREDUCTASE_ACTIVITY_ACTING_ON_PAIRED_DONORS_WITH_INCORPORATION_OR_REDUCTION_OF_MOLECULAR_OXYGEN_NAD_P_H_AS_ONE_DONOR_AND_INCORPORATION_OF_ONE_ATOM_OF_OXYGEN</v>
      </c>
      <c r="C3553" s="4">
        <v>49</v>
      </c>
      <c r="D3553" s="3">
        <v>0.96517509999999995</v>
      </c>
      <c r="E3553" s="1">
        <v>0.52103560000000004</v>
      </c>
      <c r="F3553" s="2">
        <v>0.65992223999999999</v>
      </c>
    </row>
    <row r="3554" spans="1:6" x14ac:dyDescent="0.25">
      <c r="A3554" t="s">
        <v>6</v>
      </c>
      <c r="B3554" s="5" t="str">
        <f>HYPERLINK("http://www.broadinstitute.org/gsea/msigdb/cards/GOBP_ADRENERGIC_RECEPTOR_SIGNALING_PATHWAY.html","GOBP_ADRENERGIC_RECEPTOR_SIGNALING_PATHWAY")</f>
        <v>GOBP_ADRENERGIC_RECEPTOR_SIGNALING_PATHWAY</v>
      </c>
      <c r="C3554" s="4">
        <v>31</v>
      </c>
      <c r="D3554" s="3">
        <v>0.96502160000000003</v>
      </c>
      <c r="E3554" s="1">
        <v>0.53022449999999999</v>
      </c>
      <c r="F3554" s="2">
        <v>0.66012119999999996</v>
      </c>
    </row>
    <row r="3555" spans="1:6" x14ac:dyDescent="0.25">
      <c r="A3555" t="s">
        <v>6</v>
      </c>
      <c r="B3555" s="5" t="str">
        <f>HYPERLINK("http://www.broadinstitute.org/gsea/msigdb/cards/GOBP_SOMATIC_DIVERSIFICATION_OF_IMMUNE_RECEPTORS.html","GOBP_SOMATIC_DIVERSIFICATION_OF_IMMUNE_RECEPTORS")</f>
        <v>GOBP_SOMATIC_DIVERSIFICATION_OF_IMMUNE_RECEPTORS</v>
      </c>
      <c r="C3555" s="4">
        <v>82</v>
      </c>
      <c r="D3555" s="3">
        <v>0.96494760000000002</v>
      </c>
      <c r="E3555" s="1">
        <v>0.52765320000000004</v>
      </c>
      <c r="F3555" s="2">
        <v>0.66012919999999997</v>
      </c>
    </row>
    <row r="3556" spans="1:6" x14ac:dyDescent="0.25">
      <c r="A3556" t="s">
        <v>6</v>
      </c>
      <c r="B3556" s="5" t="str">
        <f>HYPERLINK("http://www.broadinstitute.org/gsea/msigdb/cards/GOBP_PIGMENT_GRANULE_ORGANIZATION.html","GOBP_PIGMENT_GRANULE_ORGANIZATION")</f>
        <v>GOBP_PIGMENT_GRANULE_ORGANIZATION</v>
      </c>
      <c r="C3556" s="4">
        <v>39</v>
      </c>
      <c r="D3556" s="3">
        <v>0.96470350000000005</v>
      </c>
      <c r="E3556" s="1">
        <v>0.53542009999999995</v>
      </c>
      <c r="F3556" s="2">
        <v>0.66057485000000005</v>
      </c>
    </row>
    <row r="3557" spans="1:6" x14ac:dyDescent="0.25">
      <c r="A3557" t="s">
        <v>11</v>
      </c>
      <c r="B3557" s="5" t="str">
        <f>HYPERLINK("http://www.broadinstitute.org/gsea/msigdb/cards/WP_DYSREGULATED_MIRNA_TARGETING_IN_INSULIN_PI3K_AKT_SIGNALING.html","WP_DYSREGULATED_MIRNA_TARGETING_IN_INSULIN_PI3K_AKT_SIGNALING")</f>
        <v>WP_DYSREGULATED_MIRNA_TARGETING_IN_INSULIN_PI3K_AKT_SIGNALING</v>
      </c>
      <c r="C3557" s="4">
        <v>26</v>
      </c>
      <c r="D3557" s="3">
        <v>0.96390240000000005</v>
      </c>
      <c r="E3557" s="1">
        <v>0.50174825999999995</v>
      </c>
      <c r="F3557" s="2">
        <v>0.66229990000000005</v>
      </c>
    </row>
    <row r="3558" spans="1:6" x14ac:dyDescent="0.25">
      <c r="A3558" t="s">
        <v>8</v>
      </c>
      <c r="B3558" s="5" t="str">
        <f>HYPERLINK("http://www.broadinstitute.org/gsea/msigdb/cards/GOMF_ISOPRENOID_BINDING.html","GOMF_ISOPRENOID_BINDING")</f>
        <v>GOMF_ISOPRENOID_BINDING</v>
      </c>
      <c r="C3558" s="4">
        <v>36</v>
      </c>
      <c r="D3558" s="3">
        <v>0.96384930000000002</v>
      </c>
      <c r="E3558" s="1">
        <v>0.54720000000000002</v>
      </c>
      <c r="F3558" s="2">
        <v>0.66224170000000004</v>
      </c>
    </row>
    <row r="3559" spans="1:6" x14ac:dyDescent="0.25">
      <c r="A3559" t="s">
        <v>6</v>
      </c>
      <c r="B3559" s="5" t="str">
        <f>HYPERLINK("http://www.broadinstitute.org/gsea/msigdb/cards/GOBP_NEGATIVE_REGULATION_OF_POTASSIUM_ION_TRANSPORT.html","GOBP_NEGATIVE_REGULATION_OF_POTASSIUM_ION_TRANSPORT")</f>
        <v>GOBP_NEGATIVE_REGULATION_OF_POTASSIUM_ION_TRANSPORT</v>
      </c>
      <c r="C3559" s="4">
        <v>39</v>
      </c>
      <c r="D3559" s="3">
        <v>0.96361284999999997</v>
      </c>
      <c r="E3559" s="1">
        <v>0.54682269999999999</v>
      </c>
      <c r="F3559" s="2">
        <v>0.66263276000000004</v>
      </c>
    </row>
    <row r="3560" spans="1:6" x14ac:dyDescent="0.25">
      <c r="A3560" t="s">
        <v>6</v>
      </c>
      <c r="B3560" s="5" t="str">
        <f>HYPERLINK("http://www.broadinstitute.org/gsea/msigdb/cards/GOBP_NEGATIVE_REGULATION_OF_EXTRINSIC_APOPTOTIC_SIGNALING_PATHWAY_VIA_DEATH_DOMAIN_RECEPTORS.html","GOBP_NEGATIVE_REGULATION_OF_EXTRINSIC_APOPTOTIC_SIGNALING_PATHWAY_VIA_DEATH_DOMAIN_RECEPTORS")</f>
        <v>GOBP_NEGATIVE_REGULATION_OF_EXTRINSIC_APOPTOTIC_SIGNALING_PATHWAY_VIA_DEATH_DOMAIN_RECEPTORS</v>
      </c>
      <c r="C3560" s="4">
        <v>29</v>
      </c>
      <c r="D3560" s="3">
        <v>0.96356120000000001</v>
      </c>
      <c r="E3560" s="1">
        <v>0.51754385000000003</v>
      </c>
      <c r="F3560" s="2">
        <v>0.66257553999999996</v>
      </c>
    </row>
    <row r="3561" spans="1:6" x14ac:dyDescent="0.25">
      <c r="A3561" t="s">
        <v>6</v>
      </c>
      <c r="B3561" s="5" t="str">
        <f>HYPERLINK("http://www.broadinstitute.org/gsea/msigdb/cards/GOBP_REGULATION_OF_ACTIN_FILAMENT_BASED_MOVEMENT.html","GOBP_REGULATION_OF_ACTIN_FILAMENT_BASED_MOVEMENT")</f>
        <v>GOBP_REGULATION_OF_ACTIN_FILAMENT_BASED_MOVEMENT</v>
      </c>
      <c r="C3561" s="4">
        <v>49</v>
      </c>
      <c r="D3561" s="3">
        <v>0.96323365000000005</v>
      </c>
      <c r="E3561" s="1">
        <v>0.54486129999999999</v>
      </c>
      <c r="F3561" s="2">
        <v>0.66315029999999997</v>
      </c>
    </row>
    <row r="3562" spans="1:6" x14ac:dyDescent="0.25">
      <c r="A3562" t="s">
        <v>7</v>
      </c>
      <c r="B3562" s="5" t="str">
        <f>HYPERLINK("http://www.broadinstitute.org/gsea/msigdb/cards/GOCC_MIDBODY.html","GOCC_MIDBODY")</f>
        <v>GOCC_MIDBODY</v>
      </c>
      <c r="C3562" s="4">
        <v>164</v>
      </c>
      <c r="D3562" s="3">
        <v>0.96246149999999997</v>
      </c>
      <c r="E3562" s="1">
        <v>0.55873923999999997</v>
      </c>
      <c r="F3562" s="2">
        <v>0.66484799999999999</v>
      </c>
    </row>
    <row r="3563" spans="1:6" x14ac:dyDescent="0.25">
      <c r="A3563" t="s">
        <v>6</v>
      </c>
      <c r="B3563" s="5" t="str">
        <f>HYPERLINK("http://www.broadinstitute.org/gsea/msigdb/cards/GOBP_TRANSLATIONAL_INITIATION.html","GOBP_TRANSLATIONAL_INITIATION")</f>
        <v>GOBP_TRANSLATIONAL_INITIATION</v>
      </c>
      <c r="C3563" s="4">
        <v>108</v>
      </c>
      <c r="D3563" s="3">
        <v>0.96209215999999997</v>
      </c>
      <c r="E3563" s="1">
        <v>0.53420670000000003</v>
      </c>
      <c r="F3563" s="2">
        <v>0.66556775999999995</v>
      </c>
    </row>
    <row r="3564" spans="1:6" x14ac:dyDescent="0.25">
      <c r="A3564" t="s">
        <v>6</v>
      </c>
      <c r="B3564" s="5" t="str">
        <f>HYPERLINK("http://www.broadinstitute.org/gsea/msigdb/cards/GOBP_NEURAL_CREST_CELL_DIFFERENTIATION.html","GOBP_NEURAL_CREST_CELL_DIFFERENTIATION")</f>
        <v>GOBP_NEURAL_CREST_CELL_DIFFERENTIATION</v>
      </c>
      <c r="C3564" s="4">
        <v>99</v>
      </c>
      <c r="D3564" s="3">
        <v>0.96146160000000003</v>
      </c>
      <c r="E3564" s="1">
        <v>0.5337423</v>
      </c>
      <c r="F3564" s="2">
        <v>0.66692214999999999</v>
      </c>
    </row>
    <row r="3565" spans="1:6" x14ac:dyDescent="0.25">
      <c r="A3565" t="s">
        <v>7</v>
      </c>
      <c r="B3565" s="5" t="str">
        <f>HYPERLINK("http://www.broadinstitute.org/gsea/msigdb/cards/GOCC_NUCLEAR_CYCLIN_DEPENDENT_PROTEIN_KINASE_HOLOENZYME_COMPLEX.html","GOCC_NUCLEAR_CYCLIN_DEPENDENT_PROTEIN_KINASE_HOLOENZYME_COMPLEX")</f>
        <v>GOCC_NUCLEAR_CYCLIN_DEPENDENT_PROTEIN_KINASE_HOLOENZYME_COMPLEX</v>
      </c>
      <c r="C3565" s="4">
        <v>17</v>
      </c>
      <c r="D3565" s="3">
        <v>0.96128946999999998</v>
      </c>
      <c r="E3565" s="1">
        <v>0.51929826000000001</v>
      </c>
      <c r="F3565" s="2">
        <v>0.6671667</v>
      </c>
    </row>
    <row r="3566" spans="1:6" x14ac:dyDescent="0.25">
      <c r="A3566" t="s">
        <v>11</v>
      </c>
      <c r="B3566" s="5" t="str">
        <f>HYPERLINK("http://www.broadinstitute.org/gsea/msigdb/cards/WP_NOTCH_SIGNALING_PATHWAY.html","WP_NOTCH_SIGNALING_PATHWAY")</f>
        <v>WP_NOTCH_SIGNALING_PATHWAY</v>
      </c>
      <c r="C3566" s="4">
        <v>46</v>
      </c>
      <c r="D3566" s="3">
        <v>0.96120404999999998</v>
      </c>
      <c r="E3566" s="1">
        <v>0.5140496</v>
      </c>
      <c r="F3566" s="2">
        <v>0.66719870000000003</v>
      </c>
    </row>
    <row r="3567" spans="1:6" x14ac:dyDescent="0.25">
      <c r="A3567" t="s">
        <v>6</v>
      </c>
      <c r="B3567" s="5" t="str">
        <f>HYPERLINK("http://www.broadinstitute.org/gsea/msigdb/cards/GOBP_ENDOPLASMIC_RETICULUM_TO_CYTOSOL_TRANSPORT.html","GOBP_ENDOPLASMIC_RETICULUM_TO_CYTOSOL_TRANSPORT")</f>
        <v>GOBP_ENDOPLASMIC_RETICULUM_TO_CYTOSOL_TRANSPORT</v>
      </c>
      <c r="C3567" s="4">
        <v>26</v>
      </c>
      <c r="D3567" s="3">
        <v>0.96048160000000005</v>
      </c>
      <c r="E3567" s="1">
        <v>0.4991274</v>
      </c>
      <c r="F3567" s="2">
        <v>0.66880726999999995</v>
      </c>
    </row>
    <row r="3568" spans="1:6" x14ac:dyDescent="0.25">
      <c r="A3568" t="s">
        <v>6</v>
      </c>
      <c r="B3568" s="5" t="str">
        <f>HYPERLINK("http://www.broadinstitute.org/gsea/msigdb/cards/GOBP_ALPHA_AMINO_ACID_METABOLIC_PROCESS.html","GOBP_ALPHA_AMINO_ACID_METABOLIC_PROCESS")</f>
        <v>GOBP_ALPHA_AMINO_ACID_METABOLIC_PROCESS</v>
      </c>
      <c r="C3568" s="4">
        <v>189</v>
      </c>
      <c r="D3568" s="3">
        <v>0.96032744999999997</v>
      </c>
      <c r="E3568" s="1">
        <v>0.57281554000000001</v>
      </c>
      <c r="F3568" s="2">
        <v>0.66899039999999999</v>
      </c>
    </row>
    <row r="3569" spans="1:6" x14ac:dyDescent="0.25">
      <c r="A3569" t="s">
        <v>10</v>
      </c>
      <c r="B3569" s="5" t="str">
        <f>HYPERLINK("http://www.broadinstitute.org/gsea/msigdb/cards/REACTOME_FRS_MEDIATED_FGFR2_SIGNALING.html","REACTOME_FRS_MEDIATED_FGFR2_SIGNALING")</f>
        <v>REACTOME_FRS_MEDIATED_FGFR2_SIGNALING</v>
      </c>
      <c r="C3569" s="4">
        <v>23</v>
      </c>
      <c r="D3569" s="3">
        <v>0.95998824000000005</v>
      </c>
      <c r="E3569" s="1">
        <v>0.52420699999999998</v>
      </c>
      <c r="F3569" s="2">
        <v>0.66964760000000001</v>
      </c>
    </row>
    <row r="3570" spans="1:6" x14ac:dyDescent="0.25">
      <c r="A3570" t="s">
        <v>7</v>
      </c>
      <c r="B3570" s="5" t="str">
        <f>HYPERLINK("http://www.broadinstitute.org/gsea/msigdb/cards/GOCC_MULTIVESICULAR_BODY_MEMBRANE.html","GOCC_MULTIVESICULAR_BODY_MEMBRANE")</f>
        <v>GOCC_MULTIVESICULAR_BODY_MEMBRANE</v>
      </c>
      <c r="C3570" s="4">
        <v>19</v>
      </c>
      <c r="D3570" s="3">
        <v>0.95996760000000003</v>
      </c>
      <c r="E3570" s="1">
        <v>0.51211070000000003</v>
      </c>
      <c r="F3570" s="2">
        <v>0.66950969999999999</v>
      </c>
    </row>
    <row r="3571" spans="1:6" x14ac:dyDescent="0.25">
      <c r="A3571" t="s">
        <v>6</v>
      </c>
      <c r="B3571" s="5" t="str">
        <f>HYPERLINK("http://www.broadinstitute.org/gsea/msigdb/cards/GOBP_ACTIN_FILAMENT_BASED_MOVEMENT.html","GOBP_ACTIN_FILAMENT_BASED_MOVEMENT")</f>
        <v>GOBP_ACTIN_FILAMENT_BASED_MOVEMENT</v>
      </c>
      <c r="C3571" s="4">
        <v>129</v>
      </c>
      <c r="D3571" s="3">
        <v>0.95975785999999996</v>
      </c>
      <c r="E3571" s="1">
        <v>0.54005530000000002</v>
      </c>
      <c r="F3571" s="2">
        <v>0.66982030000000004</v>
      </c>
    </row>
    <row r="3572" spans="1:6" x14ac:dyDescent="0.25">
      <c r="A3572" t="s">
        <v>6</v>
      </c>
      <c r="B3572" s="5" t="str">
        <f>HYPERLINK("http://www.broadinstitute.org/gsea/msigdb/cards/GOBP_GOLGI_TO_PLASMA_MEMBRANE_PROTEIN_TRANSPORT.html","GOBP_GOLGI_TO_PLASMA_MEMBRANE_PROTEIN_TRANSPORT")</f>
        <v>GOBP_GOLGI_TO_PLASMA_MEMBRANE_PROTEIN_TRANSPORT</v>
      </c>
      <c r="C3572" s="4">
        <v>38</v>
      </c>
      <c r="D3572" s="3">
        <v>0.95961386000000004</v>
      </c>
      <c r="E3572" s="1">
        <v>0.51845909999999995</v>
      </c>
      <c r="F3572" s="2">
        <v>0.66997770000000001</v>
      </c>
    </row>
    <row r="3573" spans="1:6" x14ac:dyDescent="0.25">
      <c r="A3573" t="s">
        <v>10</v>
      </c>
      <c r="B3573" s="5" t="str">
        <f>HYPERLINK("http://www.broadinstitute.org/gsea/msigdb/cards/REACTOME_HYALURONAN_METABOLISM.html","REACTOME_HYALURONAN_METABOLISM")</f>
        <v>REACTOME_HYALURONAN_METABOLISM</v>
      </c>
      <c r="C3573" s="4">
        <v>17</v>
      </c>
      <c r="D3573" s="3">
        <v>0.95948833</v>
      </c>
      <c r="E3573" s="1">
        <v>0.53488374000000005</v>
      </c>
      <c r="F3573" s="2">
        <v>0.6701125</v>
      </c>
    </row>
    <row r="3574" spans="1:6" x14ac:dyDescent="0.25">
      <c r="A3574" t="s">
        <v>6</v>
      </c>
      <c r="B3574" s="5" t="str">
        <f>HYPERLINK("http://www.broadinstitute.org/gsea/msigdb/cards/GOBP_MODIFICATION_OF_POSTSYNAPTIC_ACTIN_CYTOSKELETON.html","GOBP_MODIFICATION_OF_POSTSYNAPTIC_ACTIN_CYTOSKELETON")</f>
        <v>GOBP_MODIFICATION_OF_POSTSYNAPTIC_ACTIN_CYTOSKELETON</v>
      </c>
      <c r="C3574" s="4">
        <v>20</v>
      </c>
      <c r="D3574" s="3">
        <v>0.95946145000000005</v>
      </c>
      <c r="E3574" s="1">
        <v>0.49913943</v>
      </c>
      <c r="F3574" s="2">
        <v>0.66998595000000005</v>
      </c>
    </row>
    <row r="3575" spans="1:6" x14ac:dyDescent="0.25">
      <c r="A3575" t="s">
        <v>7</v>
      </c>
      <c r="B3575" s="5" t="str">
        <f>HYPERLINK("http://www.broadinstitute.org/gsea/msigdb/cards/GOCC_BLOC_COMPLEX.html","GOCC_BLOC_COMPLEX")</f>
        <v>GOCC_BLOC_COMPLEX</v>
      </c>
      <c r="C3575" s="4">
        <v>20</v>
      </c>
      <c r="D3575" s="3">
        <v>0.95933144999999997</v>
      </c>
      <c r="E3575" s="1">
        <v>0.52042630000000001</v>
      </c>
      <c r="F3575" s="2">
        <v>0.67011410000000005</v>
      </c>
    </row>
    <row r="3576" spans="1:6" x14ac:dyDescent="0.25">
      <c r="A3576" t="s">
        <v>6</v>
      </c>
      <c r="B3576" s="5" t="str">
        <f>HYPERLINK("http://www.broadinstitute.org/gsea/msigdb/cards/GOBP_CELLULAR_COMPONENT_MAINTENANCE.html","GOBP_CELLULAR_COMPONENT_MAINTENANCE")</f>
        <v>GOBP_CELLULAR_COMPONENT_MAINTENANCE</v>
      </c>
      <c r="C3576" s="4">
        <v>79</v>
      </c>
      <c r="D3576" s="3">
        <v>0.95909339999999998</v>
      </c>
      <c r="E3576" s="1">
        <v>0.56137720000000002</v>
      </c>
      <c r="F3576" s="2">
        <v>0.67050549999999998</v>
      </c>
    </row>
    <row r="3577" spans="1:6" x14ac:dyDescent="0.25">
      <c r="A3577" t="s">
        <v>6</v>
      </c>
      <c r="B3577" s="5" t="str">
        <f>HYPERLINK("http://www.broadinstitute.org/gsea/msigdb/cards/GOBP_NEUTRAL_LIPID_METABOLIC_PROCESS.html","GOBP_NEUTRAL_LIPID_METABOLIC_PROCESS")</f>
        <v>GOBP_NEUTRAL_LIPID_METABOLIC_PROCESS</v>
      </c>
      <c r="C3577" s="4">
        <v>147</v>
      </c>
      <c r="D3577" s="3">
        <v>0.95894533000000004</v>
      </c>
      <c r="E3577" s="1">
        <v>0.54992764999999999</v>
      </c>
      <c r="F3577" s="2">
        <v>0.67066740000000002</v>
      </c>
    </row>
    <row r="3578" spans="1:6" x14ac:dyDescent="0.25">
      <c r="A3578" t="s">
        <v>6</v>
      </c>
      <c r="B3578" s="5" t="str">
        <f>HYPERLINK("http://www.broadinstitute.org/gsea/msigdb/cards/GOBP_MYOBLAST_MIGRATION.html","GOBP_MYOBLAST_MIGRATION")</f>
        <v>GOBP_MYOBLAST_MIGRATION</v>
      </c>
      <c r="C3578" s="4">
        <v>15</v>
      </c>
      <c r="D3578" s="3">
        <v>0.95887809999999996</v>
      </c>
      <c r="E3578" s="1">
        <v>0.52346570000000003</v>
      </c>
      <c r="F3578" s="2">
        <v>0.67063664999999995</v>
      </c>
    </row>
    <row r="3579" spans="1:6" x14ac:dyDescent="0.25">
      <c r="A3579" t="s">
        <v>7</v>
      </c>
      <c r="B3579" s="5" t="str">
        <f>HYPERLINK("http://www.broadinstitute.org/gsea/msigdb/cards/GOCC_OUTER_MEMBRANE.html","GOCC_OUTER_MEMBRANE")</f>
        <v>GOCC_OUTER_MEMBRANE</v>
      </c>
      <c r="C3579" s="4">
        <v>217</v>
      </c>
      <c r="D3579" s="3">
        <v>0.958403</v>
      </c>
      <c r="E3579" s="1">
        <v>0.57123475999999995</v>
      </c>
      <c r="F3579" s="2">
        <v>0.67156464000000005</v>
      </c>
    </row>
    <row r="3580" spans="1:6" x14ac:dyDescent="0.25">
      <c r="A3580" t="s">
        <v>6</v>
      </c>
      <c r="B3580" s="5" t="str">
        <f>HYPERLINK("http://www.broadinstitute.org/gsea/msigdb/cards/GOBP_CELLULAR_RESPONSE_TO_ABIOTIC_STIMULUS.html","GOBP_CELLULAR_RESPONSE_TO_ABIOTIC_STIMULUS")</f>
        <v>GOBP_CELLULAR_RESPONSE_TO_ABIOTIC_STIMULUS</v>
      </c>
      <c r="C3580" s="4">
        <v>290</v>
      </c>
      <c r="D3580" s="3">
        <v>0.95827013000000005</v>
      </c>
      <c r="E3580" s="1">
        <v>0.57792209999999999</v>
      </c>
      <c r="F3580" s="2">
        <v>0.67172396000000001</v>
      </c>
    </row>
    <row r="3581" spans="1:6" x14ac:dyDescent="0.25">
      <c r="A3581" t="s">
        <v>7</v>
      </c>
      <c r="B3581" s="5" t="str">
        <f>HYPERLINK("http://www.broadinstitute.org/gsea/msigdb/cards/GOCC_FLEMMING_BODY.html","GOCC_FLEMMING_BODY")</f>
        <v>GOCC_FLEMMING_BODY</v>
      </c>
      <c r="C3581" s="4">
        <v>21</v>
      </c>
      <c r="D3581" s="3">
        <v>0.95826160000000005</v>
      </c>
      <c r="E3581" s="1">
        <v>0.50506759999999995</v>
      </c>
      <c r="F3581" s="2">
        <v>0.67155564000000001</v>
      </c>
    </row>
    <row r="3582" spans="1:6" x14ac:dyDescent="0.25">
      <c r="A3582" t="s">
        <v>8</v>
      </c>
      <c r="B3582" s="5" t="str">
        <f>HYPERLINK("http://www.broadinstitute.org/gsea/msigdb/cards/GOMF_HEAT_SHOCK_PROTEIN_BINDING.html","GOMF_HEAT_SHOCK_PROTEIN_BINDING")</f>
        <v>GOMF_HEAT_SHOCK_PROTEIN_BINDING</v>
      </c>
      <c r="C3582" s="4">
        <v>149</v>
      </c>
      <c r="D3582" s="3">
        <v>0.95825890000000002</v>
      </c>
      <c r="E3582" s="1">
        <v>0.56617649999999997</v>
      </c>
      <c r="F3582" s="2">
        <v>0.67137440000000004</v>
      </c>
    </row>
    <row r="3583" spans="1:6" x14ac:dyDescent="0.25">
      <c r="A3583" t="s">
        <v>7</v>
      </c>
      <c r="B3583" s="5" t="str">
        <f>HYPERLINK("http://www.broadinstitute.org/gsea/msigdb/cards/GOCC_PHOTORECEPTOR_OUTER_SEGMENT_MEMBRANE.html","GOCC_PHOTORECEPTOR_OUTER_SEGMENT_MEMBRANE")</f>
        <v>GOCC_PHOTORECEPTOR_OUTER_SEGMENT_MEMBRANE</v>
      </c>
      <c r="C3583" s="4">
        <v>15</v>
      </c>
      <c r="D3583" s="3">
        <v>0.95821034999999999</v>
      </c>
      <c r="E3583" s="1">
        <v>0.51067615</v>
      </c>
      <c r="F3583" s="2">
        <v>0.67129976000000002</v>
      </c>
    </row>
    <row r="3584" spans="1:6" x14ac:dyDescent="0.25">
      <c r="A3584" t="s">
        <v>6</v>
      </c>
      <c r="B3584" s="5" t="str">
        <f>HYPERLINK("http://www.broadinstitute.org/gsea/msigdb/cards/GOBP_TRIPARTITE_REGIONAL_SUBDIVISION.html","GOBP_TRIPARTITE_REGIONAL_SUBDIVISION")</f>
        <v>GOBP_TRIPARTITE_REGIONAL_SUBDIVISION</v>
      </c>
      <c r="C3584" s="4">
        <v>18</v>
      </c>
      <c r="D3584" s="3">
        <v>0.95817649999999999</v>
      </c>
      <c r="E3584" s="1">
        <v>0.53427064000000002</v>
      </c>
      <c r="F3584" s="2">
        <v>0.67118907000000005</v>
      </c>
    </row>
    <row r="3585" spans="1:6" x14ac:dyDescent="0.25">
      <c r="A3585" t="s">
        <v>6</v>
      </c>
      <c r="B3585" s="5" t="str">
        <f>HYPERLINK("http://www.broadinstitute.org/gsea/msigdb/cards/GOBP_CELLULAR_RESPONSE_TO_LEPTIN_STIMULUS.html","GOBP_CELLULAR_RESPONSE_TO_LEPTIN_STIMULUS")</f>
        <v>GOBP_CELLULAR_RESPONSE_TO_LEPTIN_STIMULUS</v>
      </c>
      <c r="C3585" s="4">
        <v>16</v>
      </c>
      <c r="D3585" s="3">
        <v>0.9579995</v>
      </c>
      <c r="E3585" s="1">
        <v>0.50350874999999995</v>
      </c>
      <c r="F3585" s="2">
        <v>0.67142354999999998</v>
      </c>
    </row>
    <row r="3586" spans="1:6" x14ac:dyDescent="0.25">
      <c r="A3586" t="s">
        <v>6</v>
      </c>
      <c r="B3586" s="5" t="str">
        <f>HYPERLINK("http://www.broadinstitute.org/gsea/msigdb/cards/GOBP_ENDOPLASMIC_RETICULUM_ORGANIZATION.html","GOBP_ENDOPLASMIC_RETICULUM_ORGANIZATION")</f>
        <v>GOBP_ENDOPLASMIC_RETICULUM_ORGANIZATION</v>
      </c>
      <c r="C3586" s="4">
        <v>94</v>
      </c>
      <c r="D3586" s="3">
        <v>0.95754439999999996</v>
      </c>
      <c r="E3586" s="1">
        <v>0.54962960000000005</v>
      </c>
      <c r="F3586" s="2">
        <v>0.67234660000000002</v>
      </c>
    </row>
    <row r="3587" spans="1:6" x14ac:dyDescent="0.25">
      <c r="A3587" t="s">
        <v>7</v>
      </c>
      <c r="B3587" s="5" t="str">
        <f>HYPERLINK("http://www.broadinstitute.org/gsea/msigdb/cards/GOCC_KINETOCHORE_MICROTUBULE.html","GOCC_KINETOCHORE_MICROTUBULE")</f>
        <v>GOCC_KINETOCHORE_MICROTUBULE</v>
      </c>
      <c r="C3587" s="4">
        <v>16</v>
      </c>
      <c r="D3587" s="3">
        <v>0.95752409999999999</v>
      </c>
      <c r="E3587" s="1">
        <v>0.51175409999999999</v>
      </c>
      <c r="F3587" s="2">
        <v>0.6722108</v>
      </c>
    </row>
    <row r="3588" spans="1:6" x14ac:dyDescent="0.25">
      <c r="A3588" t="s">
        <v>7</v>
      </c>
      <c r="B3588" s="5" t="str">
        <f>HYPERLINK("http://www.broadinstitute.org/gsea/msigdb/cards/GOCC_ZYMOGEN_GRANULE_MEMBRANE.html","GOCC_ZYMOGEN_GRANULE_MEMBRANE")</f>
        <v>GOCC_ZYMOGEN_GRANULE_MEMBRANE</v>
      </c>
      <c r="C3588" s="4">
        <v>15</v>
      </c>
      <c r="D3588" s="3">
        <v>0.95721449999999997</v>
      </c>
      <c r="E3588" s="1">
        <v>0.49235994</v>
      </c>
      <c r="F3588" s="2">
        <v>0.67279230000000001</v>
      </c>
    </row>
    <row r="3589" spans="1:6" x14ac:dyDescent="0.25">
      <c r="A3589" t="s">
        <v>6</v>
      </c>
      <c r="B3589" s="5" t="str">
        <f>HYPERLINK("http://www.broadinstitute.org/gsea/msigdb/cards/GOBP_REGULATION_OF_HEART_CONTRACTION.html","GOBP_REGULATION_OF_HEART_CONTRACTION")</f>
        <v>GOBP_REGULATION_OF_HEART_CONTRACTION</v>
      </c>
      <c r="C3589" s="4">
        <v>194</v>
      </c>
      <c r="D3589" s="3">
        <v>0.95712790000000003</v>
      </c>
      <c r="E3589" s="1">
        <v>0.59014080000000002</v>
      </c>
      <c r="F3589" s="2">
        <v>0.67281234000000001</v>
      </c>
    </row>
    <row r="3590" spans="1:6" x14ac:dyDescent="0.25">
      <c r="A3590" t="s">
        <v>6</v>
      </c>
      <c r="B3590" s="5" t="str">
        <f>HYPERLINK("http://www.broadinstitute.org/gsea/msigdb/cards/GOBP_C21_STEROID_HORMONE_METABOLIC_PROCESS.html","GOBP_C21_STEROID_HORMONE_METABOLIC_PROCESS")</f>
        <v>GOBP_C21_STEROID_HORMONE_METABOLIC_PROCESS</v>
      </c>
      <c r="C3590" s="4">
        <v>35</v>
      </c>
      <c r="D3590" s="3">
        <v>0.9568371</v>
      </c>
      <c r="E3590" s="1">
        <v>0.50993376999999995</v>
      </c>
      <c r="F3590" s="2">
        <v>0.67337020000000003</v>
      </c>
    </row>
    <row r="3591" spans="1:6" x14ac:dyDescent="0.25">
      <c r="A3591" t="s">
        <v>6</v>
      </c>
      <c r="B3591" s="5" t="str">
        <f>HYPERLINK("http://www.broadinstitute.org/gsea/msigdb/cards/GOBP_NEUTRAL_AMINO_ACID_TRANSPORT.html","GOBP_NEUTRAL_AMINO_ACID_TRANSPORT")</f>
        <v>GOBP_NEUTRAL_AMINO_ACID_TRANSPORT</v>
      </c>
      <c r="C3591" s="4">
        <v>52</v>
      </c>
      <c r="D3591" s="3">
        <v>0.95638049999999997</v>
      </c>
      <c r="E3591" s="1">
        <v>0.53105590000000003</v>
      </c>
      <c r="F3591" s="2">
        <v>0.67432049999999999</v>
      </c>
    </row>
    <row r="3592" spans="1:6" x14ac:dyDescent="0.25">
      <c r="A3592" t="s">
        <v>6</v>
      </c>
      <c r="B3592" s="5" t="str">
        <f>HYPERLINK("http://www.broadinstitute.org/gsea/msigdb/cards/GOBP_AXONAL_TRANSPORT_OF_MITOCHONDRION.html","GOBP_AXONAL_TRANSPORT_OF_MITOCHONDRION")</f>
        <v>GOBP_AXONAL_TRANSPORT_OF_MITOCHONDRION</v>
      </c>
      <c r="C3592" s="4">
        <v>17</v>
      </c>
      <c r="D3592" s="3">
        <v>0.95636270000000001</v>
      </c>
      <c r="E3592" s="1">
        <v>0.55017300000000002</v>
      </c>
      <c r="F3592" s="2">
        <v>0.67417340000000003</v>
      </c>
    </row>
    <row r="3593" spans="1:6" x14ac:dyDescent="0.25">
      <c r="A3593" t="s">
        <v>6</v>
      </c>
      <c r="B3593" s="5" t="str">
        <f>HYPERLINK("http://www.broadinstitute.org/gsea/msigdb/cards/GOBP_PROTEIN_LOCALIZATION_TO_CONDENSED_CHROMOSOME.html","GOBP_PROTEIN_LOCALIZATION_TO_CONDENSED_CHROMOSOME")</f>
        <v>GOBP_PROTEIN_LOCALIZATION_TO_CONDENSED_CHROMOSOME</v>
      </c>
      <c r="C3593" s="4">
        <v>15</v>
      </c>
      <c r="D3593" s="3">
        <v>0.95624010000000004</v>
      </c>
      <c r="E3593" s="1">
        <v>0.51162790000000002</v>
      </c>
      <c r="F3593" s="2">
        <v>0.67427459999999995</v>
      </c>
    </row>
    <row r="3594" spans="1:6" x14ac:dyDescent="0.25">
      <c r="A3594" t="s">
        <v>6</v>
      </c>
      <c r="B3594" s="5" t="str">
        <f>HYPERLINK("http://www.broadinstitute.org/gsea/msigdb/cards/GOBP_LAYER_FORMATION_IN_CEREBRAL_CORTEX.html","GOBP_LAYER_FORMATION_IN_CEREBRAL_CORTEX")</f>
        <v>GOBP_LAYER_FORMATION_IN_CEREBRAL_CORTEX</v>
      </c>
      <c r="C3594" s="4">
        <v>16</v>
      </c>
      <c r="D3594" s="3">
        <v>0.95594394000000005</v>
      </c>
      <c r="E3594" s="1">
        <v>0.52733684000000003</v>
      </c>
      <c r="F3594" s="2">
        <v>0.67482405999999995</v>
      </c>
    </row>
    <row r="3595" spans="1:6" x14ac:dyDescent="0.25">
      <c r="A3595" t="s">
        <v>10</v>
      </c>
      <c r="B3595" s="5" t="str">
        <f>HYPERLINK("http://www.broadinstitute.org/gsea/msigdb/cards/REACTOME_STIMULI_SENSING_CHANNELS.html","REACTOME_STIMULI_SENSING_CHANNELS")</f>
        <v>REACTOME_STIMULI_SENSING_CHANNELS</v>
      </c>
      <c r="C3595" s="4">
        <v>93</v>
      </c>
      <c r="D3595" s="3">
        <v>0.95589570000000001</v>
      </c>
      <c r="E3595" s="1">
        <v>0.56269115000000003</v>
      </c>
      <c r="F3595" s="2">
        <v>0.67475134000000003</v>
      </c>
    </row>
    <row r="3596" spans="1:6" x14ac:dyDescent="0.25">
      <c r="A3596" t="s">
        <v>5</v>
      </c>
      <c r="B3596" s="5" t="str">
        <f>HYPERLINK("http://www.broadinstitute.org/gsea/msigdb/cards/BIOCARTA_NUCLEARRS_PATHWAY.html","BIOCARTA_NUCLEARRS_PATHWAY")</f>
        <v>BIOCARTA_NUCLEARRS_PATHWAY</v>
      </c>
      <c r="C3596" s="4">
        <v>32</v>
      </c>
      <c r="D3596" s="3">
        <v>0.95578099999999999</v>
      </c>
      <c r="E3596" s="1">
        <v>0.51570249999999995</v>
      </c>
      <c r="F3596" s="2">
        <v>0.67483559999999998</v>
      </c>
    </row>
    <row r="3597" spans="1:6" x14ac:dyDescent="0.25">
      <c r="A3597" t="s">
        <v>6</v>
      </c>
      <c r="B3597" s="5" t="str">
        <f>HYPERLINK("http://www.broadinstitute.org/gsea/msigdb/cards/GOBP_POSITIVE_REGULATION_OF_GROWTH.html","GOBP_POSITIVE_REGULATION_OF_GROWTH")</f>
        <v>GOBP_POSITIVE_REGULATION_OF_GROWTH</v>
      </c>
      <c r="C3597" s="4">
        <v>304</v>
      </c>
      <c r="D3597" s="3">
        <v>0.95545910000000001</v>
      </c>
      <c r="E3597" s="1">
        <v>0.60275864999999995</v>
      </c>
      <c r="F3597" s="2">
        <v>0.67543525000000004</v>
      </c>
    </row>
    <row r="3598" spans="1:6" x14ac:dyDescent="0.25">
      <c r="A3598" t="s">
        <v>5</v>
      </c>
      <c r="B3598" s="5" t="str">
        <f>HYPERLINK("http://www.broadinstitute.org/gsea/msigdb/cards/BIOCARTA_ATRBRCA_PATHWAY.html","BIOCARTA_ATRBRCA_PATHWAY")</f>
        <v>BIOCARTA_ATRBRCA_PATHWAY</v>
      </c>
      <c r="C3598" s="4">
        <v>18</v>
      </c>
      <c r="D3598" s="3">
        <v>0.95529014000000001</v>
      </c>
      <c r="E3598" s="1">
        <v>0.49821427000000001</v>
      </c>
      <c r="F3598" s="2">
        <v>0.67566729999999997</v>
      </c>
    </row>
    <row r="3599" spans="1:6" x14ac:dyDescent="0.25">
      <c r="A3599" t="s">
        <v>6</v>
      </c>
      <c r="B3599" s="5" t="str">
        <f>HYPERLINK("http://www.broadinstitute.org/gsea/msigdb/cards/GOBP_EXCITATORY_SYNAPSE_ASSEMBLY.html","GOBP_EXCITATORY_SYNAPSE_ASSEMBLY")</f>
        <v>GOBP_EXCITATORY_SYNAPSE_ASSEMBLY</v>
      </c>
      <c r="C3599" s="4">
        <v>38</v>
      </c>
      <c r="D3599" s="3">
        <v>0.95466196999999997</v>
      </c>
      <c r="E3599" s="1">
        <v>0.54530745999999997</v>
      </c>
      <c r="F3599" s="2">
        <v>0.677014</v>
      </c>
    </row>
    <row r="3600" spans="1:6" x14ac:dyDescent="0.25">
      <c r="A3600" t="s">
        <v>6</v>
      </c>
      <c r="B3600" s="5" t="str">
        <f>HYPERLINK("http://www.broadinstitute.org/gsea/msigdb/cards/GOBP_NEGATIVE_REGULATION_OF_LIPID_METABOLIC_PROCESS.html","GOBP_NEGATIVE_REGULATION_OF_LIPID_METABOLIC_PROCESS")</f>
        <v>GOBP_NEGATIVE_REGULATION_OF_LIPID_METABOLIC_PROCESS</v>
      </c>
      <c r="C3600" s="4">
        <v>110</v>
      </c>
      <c r="D3600" s="3">
        <v>0.95457524000000005</v>
      </c>
      <c r="E3600" s="1">
        <v>0.58584340000000001</v>
      </c>
      <c r="F3600" s="2">
        <v>0.67702483999999996</v>
      </c>
    </row>
    <row r="3601" spans="1:6" x14ac:dyDescent="0.25">
      <c r="A3601" t="s">
        <v>6</v>
      </c>
      <c r="B3601" s="5" t="str">
        <f>HYPERLINK("http://www.broadinstitute.org/gsea/msigdb/cards/GOBP_ASSOCIATIVE_LEARNING.html","GOBP_ASSOCIATIVE_LEARNING")</f>
        <v>GOBP_ASSOCIATIVE_LEARNING</v>
      </c>
      <c r="C3601" s="4">
        <v>121</v>
      </c>
      <c r="D3601" s="3">
        <v>0.95442629999999995</v>
      </c>
      <c r="E3601" s="1">
        <v>0.55846154999999997</v>
      </c>
      <c r="F3601" s="2">
        <v>0.67719894999999997</v>
      </c>
    </row>
    <row r="3602" spans="1:6" x14ac:dyDescent="0.25">
      <c r="A3602" t="s">
        <v>6</v>
      </c>
      <c r="B3602" s="5" t="str">
        <f>HYPERLINK("http://www.broadinstitute.org/gsea/msigdb/cards/GOBP_POSITIVE_REGULATION_OF_AUTOPHAGOSOME_ASSEMBLY.html","GOBP_POSITIVE_REGULATION_OF_AUTOPHAGOSOME_ASSEMBLY")</f>
        <v>GOBP_POSITIVE_REGULATION_OF_AUTOPHAGOSOME_ASSEMBLY</v>
      </c>
      <c r="C3602" s="4">
        <v>19</v>
      </c>
      <c r="D3602" s="3">
        <v>0.95435919999999996</v>
      </c>
      <c r="E3602" s="1">
        <v>0.51366120000000004</v>
      </c>
      <c r="F3602" s="2">
        <v>0.67716849999999995</v>
      </c>
    </row>
    <row r="3603" spans="1:6" x14ac:dyDescent="0.25">
      <c r="A3603" t="s">
        <v>8</v>
      </c>
      <c r="B3603" s="5" t="str">
        <f>HYPERLINK("http://www.broadinstitute.org/gsea/msigdb/cards/GOMF_HELICASE_ACTIVITY.html","GOMF_HELICASE_ACTIVITY")</f>
        <v>GOMF_HELICASE_ACTIVITY</v>
      </c>
      <c r="C3603" s="4">
        <v>149</v>
      </c>
      <c r="D3603" s="3">
        <v>0.95418506999999997</v>
      </c>
      <c r="E3603" s="1">
        <v>0.55777460000000001</v>
      </c>
      <c r="F3603" s="2">
        <v>0.67739355999999995</v>
      </c>
    </row>
    <row r="3604" spans="1:6" x14ac:dyDescent="0.25">
      <c r="A3604" t="s">
        <v>6</v>
      </c>
      <c r="B3604" s="5" t="str">
        <f>HYPERLINK("http://www.broadinstitute.org/gsea/msigdb/cards/GOBP_MEMBRANE_REPOLARIZATION_DURING_ACTION_POTENTIAL.html","GOBP_MEMBRANE_REPOLARIZATION_DURING_ACTION_POTENTIAL")</f>
        <v>GOBP_MEMBRANE_REPOLARIZATION_DURING_ACTION_POTENTIAL</v>
      </c>
      <c r="C3604" s="4">
        <v>19</v>
      </c>
      <c r="D3604" s="3">
        <v>0.95389520000000005</v>
      </c>
      <c r="E3604" s="1">
        <v>0.51038059999999996</v>
      </c>
      <c r="F3604" s="2">
        <v>0.67790669999999997</v>
      </c>
    </row>
    <row r="3605" spans="1:6" x14ac:dyDescent="0.25">
      <c r="A3605" t="s">
        <v>6</v>
      </c>
      <c r="B3605" s="5" t="str">
        <f>HYPERLINK("http://www.broadinstitute.org/gsea/msigdb/cards/GOBP_POSTSYNAPSE_ORGANIZATION.html","GOBP_POSTSYNAPSE_ORGANIZATION")</f>
        <v>GOBP_POSTSYNAPSE_ORGANIZATION</v>
      </c>
      <c r="C3605" s="4">
        <v>249</v>
      </c>
      <c r="D3605" s="3">
        <v>0.95383275000000001</v>
      </c>
      <c r="E3605" s="1">
        <v>0.58640223999999996</v>
      </c>
      <c r="F3605" s="2">
        <v>0.67787889999999995</v>
      </c>
    </row>
    <row r="3606" spans="1:6" x14ac:dyDescent="0.25">
      <c r="A3606" t="s">
        <v>6</v>
      </c>
      <c r="B3606" s="5" t="str">
        <f>HYPERLINK("http://www.broadinstitute.org/gsea/msigdb/cards/GOBP_REGULATION_OF_NEUROTRANSMITTER_TRANSPORT.html","GOBP_REGULATION_OF_NEUROTRANSMITTER_TRANSPORT")</f>
        <v>GOBP_REGULATION_OF_NEUROTRANSMITTER_TRANSPORT</v>
      </c>
      <c r="C3606" s="4">
        <v>126</v>
      </c>
      <c r="D3606" s="3">
        <v>0.95366510000000004</v>
      </c>
      <c r="E3606" s="1">
        <v>0.56350359999999999</v>
      </c>
      <c r="F3606" s="2">
        <v>0.67809220000000003</v>
      </c>
    </row>
    <row r="3607" spans="1:6" x14ac:dyDescent="0.25">
      <c r="A3607" t="s">
        <v>10</v>
      </c>
      <c r="B3607" s="5" t="str">
        <f>HYPERLINK("http://www.broadinstitute.org/gsea/msigdb/cards/REACTOME_MAP2K_AND_MAPK_ACTIVATION.html","REACTOME_MAP2K_AND_MAPK_ACTIVATION")</f>
        <v>REACTOME_MAP2K_AND_MAPK_ACTIVATION</v>
      </c>
      <c r="C3607" s="4">
        <v>39</v>
      </c>
      <c r="D3607" s="3">
        <v>0.95355076000000005</v>
      </c>
      <c r="E3607" s="1">
        <v>0.54237290000000005</v>
      </c>
      <c r="F3607" s="2">
        <v>0.67818489999999998</v>
      </c>
    </row>
    <row r="3608" spans="1:6" x14ac:dyDescent="0.25">
      <c r="A3608" t="s">
        <v>6</v>
      </c>
      <c r="B3608" s="5" t="str">
        <f>HYPERLINK("http://www.broadinstitute.org/gsea/msigdb/cards/GOBP_REGULATION_OF_PROTEIN_TARGETING_TO_MEMBRANE.html","GOBP_REGULATION_OF_PROTEIN_TARGETING_TO_MEMBRANE")</f>
        <v>GOBP_REGULATION_OF_PROTEIN_TARGETING_TO_MEMBRANE</v>
      </c>
      <c r="C3608" s="4">
        <v>34</v>
      </c>
      <c r="D3608" s="3">
        <v>0.95354939999999999</v>
      </c>
      <c r="E3608" s="1">
        <v>0.51500789999999996</v>
      </c>
      <c r="F3608" s="2">
        <v>0.6780003</v>
      </c>
    </row>
    <row r="3609" spans="1:6" x14ac:dyDescent="0.25">
      <c r="A3609" t="s">
        <v>6</v>
      </c>
      <c r="B3609" s="5" t="str">
        <f>HYPERLINK("http://www.broadinstitute.org/gsea/msigdb/cards/GOBP_EPIDERMAL_CELL_DIFFERENTIATION.html","GOBP_EPIDERMAL_CELL_DIFFERENTIATION")</f>
        <v>GOBP_EPIDERMAL_CELL_DIFFERENTIATION</v>
      </c>
      <c r="C3609" s="4">
        <v>241</v>
      </c>
      <c r="D3609" s="3">
        <v>0.95353686999999998</v>
      </c>
      <c r="E3609" s="1">
        <v>0.56130789999999997</v>
      </c>
      <c r="F3609" s="2">
        <v>0.67783916</v>
      </c>
    </row>
    <row r="3610" spans="1:6" x14ac:dyDescent="0.25">
      <c r="A3610" t="s">
        <v>8</v>
      </c>
      <c r="B3610" s="5" t="str">
        <f>HYPERLINK("http://www.broadinstitute.org/gsea/msigdb/cards/GOMF_ATP_HYDROLYSIS_ACTIVITY.html","GOMF_ATP_HYDROLYSIS_ACTIVITY")</f>
        <v>GOMF_ATP_HYDROLYSIS_ACTIVITY</v>
      </c>
      <c r="C3610" s="4">
        <v>280</v>
      </c>
      <c r="D3610" s="3">
        <v>0.95344370000000001</v>
      </c>
      <c r="E3610" s="1">
        <v>0.60347130000000004</v>
      </c>
      <c r="F3610" s="2">
        <v>0.67788433999999997</v>
      </c>
    </row>
    <row r="3611" spans="1:6" x14ac:dyDescent="0.25">
      <c r="A3611" t="s">
        <v>6</v>
      </c>
      <c r="B3611" s="5" t="str">
        <f>HYPERLINK("http://www.broadinstitute.org/gsea/msigdb/cards/GOBP_POSITIVE_REGULATION_OF_NOTCH_SIGNALING_PATHWAY.html","GOBP_POSITIVE_REGULATION_OF_NOTCH_SIGNALING_PATHWAY")</f>
        <v>GOBP_POSITIVE_REGULATION_OF_NOTCH_SIGNALING_PATHWAY</v>
      </c>
      <c r="C3611" s="4">
        <v>45</v>
      </c>
      <c r="D3611" s="3">
        <v>0.95343909999999998</v>
      </c>
      <c r="E3611" s="1">
        <v>0.53484600000000004</v>
      </c>
      <c r="F3611" s="2">
        <v>0.67770819999999998</v>
      </c>
    </row>
    <row r="3612" spans="1:6" x14ac:dyDescent="0.25">
      <c r="A3612" t="s">
        <v>6</v>
      </c>
      <c r="B3612" s="5" t="str">
        <f>HYPERLINK("http://www.broadinstitute.org/gsea/msigdb/cards/GOBP_RESPONSE_TO_ESTRADIOL.html","GOBP_RESPONSE_TO_ESTRADIOL")</f>
        <v>GOBP_RESPONSE_TO_ESTRADIOL</v>
      </c>
      <c r="C3612" s="4">
        <v>50</v>
      </c>
      <c r="D3612" s="3">
        <v>0.95336710000000002</v>
      </c>
      <c r="E3612" s="1">
        <v>0.5435816</v>
      </c>
      <c r="F3612" s="2">
        <v>0.67769179999999996</v>
      </c>
    </row>
    <row r="3613" spans="1:6" x14ac:dyDescent="0.25">
      <c r="A3613" t="s">
        <v>6</v>
      </c>
      <c r="B3613" s="5" t="str">
        <f>HYPERLINK("http://www.broadinstitute.org/gsea/msigdb/cards/GOBP_REGULATION_OF_SODIUM_ION_TRANSPORT.html","GOBP_REGULATION_OF_SODIUM_ION_TRANSPORT")</f>
        <v>GOBP_REGULATION_OF_SODIUM_ION_TRANSPORT</v>
      </c>
      <c r="C3613" s="4">
        <v>99</v>
      </c>
      <c r="D3613" s="3">
        <v>0.9533064</v>
      </c>
      <c r="E3613" s="1">
        <v>0.55187969999999997</v>
      </c>
      <c r="F3613" s="2">
        <v>0.67765534000000005</v>
      </c>
    </row>
    <row r="3614" spans="1:6" x14ac:dyDescent="0.25">
      <c r="A3614" t="s">
        <v>6</v>
      </c>
      <c r="B3614" s="5" t="str">
        <f>HYPERLINK("http://www.broadinstitute.org/gsea/msigdb/cards/GOBP_RESPONSE_TO_STEROL.html","GOBP_RESPONSE_TO_STEROL")</f>
        <v>GOBP_RESPONSE_TO_STEROL</v>
      </c>
      <c r="C3614" s="4">
        <v>32</v>
      </c>
      <c r="D3614" s="3">
        <v>0.95276190000000005</v>
      </c>
      <c r="E3614" s="1">
        <v>0.53030299999999997</v>
      </c>
      <c r="F3614" s="2">
        <v>0.67879575000000003</v>
      </c>
    </row>
    <row r="3615" spans="1:6" x14ac:dyDescent="0.25">
      <c r="A3615" t="s">
        <v>10</v>
      </c>
      <c r="B3615" s="5" t="str">
        <f>HYPERLINK("http://www.broadinstitute.org/gsea/msigdb/cards/REACTOME_DISASSEMBLY_OF_THE_DESTRUCTION_COMPLEX_AND_RECRUITMENT_OF_AXIN_TO_THE_MEMBRANE.html","REACTOME_DISASSEMBLY_OF_THE_DESTRUCTION_COMPLEX_AND_RECRUITMENT_OF_AXIN_TO_THE_MEMBRANE")</f>
        <v>REACTOME_DISASSEMBLY_OF_THE_DESTRUCTION_COMPLEX_AND_RECRUITMENT_OF_AXIN_TO_THE_MEMBRANE</v>
      </c>
      <c r="C3615" s="4">
        <v>30</v>
      </c>
      <c r="D3615" s="3">
        <v>0.95250182999999999</v>
      </c>
      <c r="E3615" s="1">
        <v>0.53433836000000001</v>
      </c>
      <c r="F3615" s="2">
        <v>0.67925820000000003</v>
      </c>
    </row>
    <row r="3616" spans="1:6" x14ac:dyDescent="0.25">
      <c r="A3616" t="s">
        <v>10</v>
      </c>
      <c r="B3616" s="5" t="str">
        <f>HYPERLINK("http://www.broadinstitute.org/gsea/msigdb/cards/REACTOME_INTRA_GOLGI_TRAFFIC.html","REACTOME_INTRA_GOLGI_TRAFFIC")</f>
        <v>REACTOME_INTRA_GOLGI_TRAFFIC</v>
      </c>
      <c r="C3616" s="4">
        <v>35</v>
      </c>
      <c r="D3616" s="3">
        <v>0.95215450000000001</v>
      </c>
      <c r="E3616" s="1">
        <v>0.53782890000000005</v>
      </c>
      <c r="F3616" s="2">
        <v>0.67991069999999998</v>
      </c>
    </row>
    <row r="3617" spans="1:6" x14ac:dyDescent="0.25">
      <c r="A3617" t="s">
        <v>10</v>
      </c>
      <c r="B3617" s="5" t="str">
        <f>HYPERLINK("http://www.broadinstitute.org/gsea/msigdb/cards/REACTOME_BIOLOGICAL_OXIDATIONS.html","REACTOME_BIOLOGICAL_OXIDATIONS")</f>
        <v>REACTOME_BIOLOGICAL_OXIDATIONS</v>
      </c>
      <c r="C3617" s="4">
        <v>190</v>
      </c>
      <c r="D3617" s="3">
        <v>0.95187379999999999</v>
      </c>
      <c r="E3617" s="1">
        <v>0.59180790000000005</v>
      </c>
      <c r="F3617" s="2">
        <v>0.68039923999999996</v>
      </c>
    </row>
    <row r="3618" spans="1:6" x14ac:dyDescent="0.25">
      <c r="A3618" t="s">
        <v>6</v>
      </c>
      <c r="B3618" s="5" t="str">
        <f>HYPERLINK("http://www.broadinstitute.org/gsea/msigdb/cards/GOBP_SOMITOGENESIS.html","GOBP_SOMITOGENESIS")</f>
        <v>GOBP_SOMITOGENESIS</v>
      </c>
      <c r="C3618" s="4">
        <v>75</v>
      </c>
      <c r="D3618" s="3">
        <v>0.95124169999999997</v>
      </c>
      <c r="E3618" s="1">
        <v>0.54093100000000005</v>
      </c>
      <c r="F3618" s="2">
        <v>0.68177840000000001</v>
      </c>
    </row>
    <row r="3619" spans="1:6" x14ac:dyDescent="0.25">
      <c r="A3619" t="s">
        <v>6</v>
      </c>
      <c r="B3619" s="5" t="str">
        <f>HYPERLINK("http://www.broadinstitute.org/gsea/msigdb/cards/GOBP_CARDIAC_SEPTUM_DEVELOPMENT.html","GOBP_CARDIAC_SEPTUM_DEVELOPMENT")</f>
        <v>GOBP_CARDIAC_SEPTUM_DEVELOPMENT</v>
      </c>
      <c r="C3619" s="4">
        <v>119</v>
      </c>
      <c r="D3619" s="3">
        <v>0.95054793000000004</v>
      </c>
      <c r="E3619" s="1">
        <v>0.56240369999999995</v>
      </c>
      <c r="F3619" s="2">
        <v>0.68327170000000004</v>
      </c>
    </row>
    <row r="3620" spans="1:6" x14ac:dyDescent="0.25">
      <c r="A3620" t="s">
        <v>6</v>
      </c>
      <c r="B3620" s="5" t="str">
        <f>HYPERLINK("http://www.broadinstitute.org/gsea/msigdb/cards/GOBP_NUCLEAR_MEMBRANE_ORGANIZATION.html","GOBP_NUCLEAR_MEMBRANE_ORGANIZATION")</f>
        <v>GOBP_NUCLEAR_MEMBRANE_ORGANIZATION</v>
      </c>
      <c r="C3620" s="4">
        <v>33</v>
      </c>
      <c r="D3620" s="3">
        <v>0.95035119999999995</v>
      </c>
      <c r="E3620" s="1">
        <v>0.52435063999999998</v>
      </c>
      <c r="F3620" s="2">
        <v>0.68353706999999997</v>
      </c>
    </row>
    <row r="3621" spans="1:6" x14ac:dyDescent="0.25">
      <c r="A3621" t="s">
        <v>6</v>
      </c>
      <c r="B3621" s="5" t="str">
        <f>HYPERLINK("http://www.broadinstitute.org/gsea/msigdb/cards/GOBP_REGULATION_OF_SYSTEMIC_ARTERIAL_BLOOD_PRESSURE_MEDIATED_BY_A_CHEMICAL_SIGNAL.html","GOBP_REGULATION_OF_SYSTEMIC_ARTERIAL_BLOOD_PRESSURE_MEDIATED_BY_A_CHEMICAL_SIGNAL")</f>
        <v>GOBP_REGULATION_OF_SYSTEMIC_ARTERIAL_BLOOD_PRESSURE_MEDIATED_BY_A_CHEMICAL_SIGNAL</v>
      </c>
      <c r="C3621" s="4">
        <v>53</v>
      </c>
      <c r="D3621" s="3">
        <v>0.9502545</v>
      </c>
      <c r="E3621" s="1">
        <v>0.53960395000000005</v>
      </c>
      <c r="F3621" s="2">
        <v>0.68358090000000005</v>
      </c>
    </row>
    <row r="3622" spans="1:6" x14ac:dyDescent="0.25">
      <c r="A3622" t="s">
        <v>8</v>
      </c>
      <c r="B3622" s="5" t="str">
        <f>HYPERLINK("http://www.broadinstitute.org/gsea/msigdb/cards/GOMF_3_5_EXONUCLEASE_ACTIVITY.html","GOMF_3_5_EXONUCLEASE_ACTIVITY")</f>
        <v>GOMF_3_5_EXONUCLEASE_ACTIVITY</v>
      </c>
      <c r="C3622" s="4">
        <v>47</v>
      </c>
      <c r="D3622" s="3">
        <v>0.94997394000000002</v>
      </c>
      <c r="E3622" s="1">
        <v>0.53571427000000005</v>
      </c>
      <c r="F3622" s="2">
        <v>0.68405104000000005</v>
      </c>
    </row>
    <row r="3623" spans="1:6" x14ac:dyDescent="0.25">
      <c r="A3623" t="s">
        <v>8</v>
      </c>
      <c r="B3623" s="5" t="str">
        <f>HYPERLINK("http://www.broadinstitute.org/gsea/msigdb/cards/GOMF_CALCIUM_RELEASE_CHANNEL_ACTIVITY.html","GOMF_CALCIUM_RELEASE_CHANNEL_ACTIVITY")</f>
        <v>GOMF_CALCIUM_RELEASE_CHANNEL_ACTIVITY</v>
      </c>
      <c r="C3623" s="4">
        <v>16</v>
      </c>
      <c r="D3623" s="3">
        <v>0.94977129999999998</v>
      </c>
      <c r="E3623" s="1">
        <v>0.54787235999999995</v>
      </c>
      <c r="F3623" s="2">
        <v>0.68435679999999999</v>
      </c>
    </row>
    <row r="3624" spans="1:6" x14ac:dyDescent="0.25">
      <c r="A3624" t="s">
        <v>6</v>
      </c>
      <c r="B3624" s="5" t="str">
        <f>HYPERLINK("http://www.broadinstitute.org/gsea/msigdb/cards/GOBP_KERATINOCYTE_PROLIFERATION.html","GOBP_KERATINOCYTE_PROLIFERATION")</f>
        <v>GOBP_KERATINOCYTE_PROLIFERATION</v>
      </c>
      <c r="C3624" s="4">
        <v>63</v>
      </c>
      <c r="D3624" s="3">
        <v>0.94957477000000001</v>
      </c>
      <c r="E3624" s="1">
        <v>0.53134800000000004</v>
      </c>
      <c r="F3624" s="2">
        <v>0.68464910000000001</v>
      </c>
    </row>
    <row r="3625" spans="1:6" x14ac:dyDescent="0.25">
      <c r="A3625" t="s">
        <v>8</v>
      </c>
      <c r="B3625" s="5" t="str">
        <f>HYPERLINK("http://www.broadinstitute.org/gsea/msigdb/cards/GOMF_LYSOPHOSPHOLIPASE_ACTIVITY.html","GOMF_LYSOPHOSPHOLIPASE_ACTIVITY")</f>
        <v>GOMF_LYSOPHOSPHOLIPASE_ACTIVITY</v>
      </c>
      <c r="C3625" s="4">
        <v>23</v>
      </c>
      <c r="D3625" s="3">
        <v>0.94894350000000005</v>
      </c>
      <c r="E3625" s="1">
        <v>0.52420699999999998</v>
      </c>
      <c r="F3625" s="2">
        <v>0.685971</v>
      </c>
    </row>
    <row r="3626" spans="1:6" x14ac:dyDescent="0.25">
      <c r="A3626" t="s">
        <v>6</v>
      </c>
      <c r="B3626" s="5" t="str">
        <f>HYPERLINK("http://www.broadinstitute.org/gsea/msigdb/cards/GOBP_PLASMA_LIPOPROTEIN_PARTICLE_ASSEMBLY.html","GOBP_PLASMA_LIPOPROTEIN_PARTICLE_ASSEMBLY")</f>
        <v>GOBP_PLASMA_LIPOPROTEIN_PARTICLE_ASSEMBLY</v>
      </c>
      <c r="C3626" s="4">
        <v>21</v>
      </c>
      <c r="D3626" s="3">
        <v>0.94852040000000004</v>
      </c>
      <c r="E3626" s="1">
        <v>0.54745763999999997</v>
      </c>
      <c r="F3626" s="2">
        <v>0.68682209999999999</v>
      </c>
    </row>
    <row r="3627" spans="1:6" x14ac:dyDescent="0.25">
      <c r="A3627" t="s">
        <v>6</v>
      </c>
      <c r="B3627" s="5" t="str">
        <f>HYPERLINK("http://www.broadinstitute.org/gsea/msigdb/cards/GOBP_SALIVARY_GLAND_DEVELOPMENT.html","GOBP_SALIVARY_GLAND_DEVELOPMENT")</f>
        <v>GOBP_SALIVARY_GLAND_DEVELOPMENT</v>
      </c>
      <c r="C3627" s="4">
        <v>40</v>
      </c>
      <c r="D3627" s="3">
        <v>0.94805026000000003</v>
      </c>
      <c r="E3627" s="1">
        <v>0.54918029999999995</v>
      </c>
      <c r="F3627" s="2">
        <v>0.68778119999999998</v>
      </c>
    </row>
    <row r="3628" spans="1:6" x14ac:dyDescent="0.25">
      <c r="A3628" t="s">
        <v>8</v>
      </c>
      <c r="B3628" s="5" t="str">
        <f>HYPERLINK("http://www.broadinstitute.org/gsea/msigdb/cards/GOMF_O_ACYLTRANSFERASE_ACTIVITY.html","GOMF_O_ACYLTRANSFERASE_ACTIVITY")</f>
        <v>GOMF_O_ACYLTRANSFERASE_ACTIVITY</v>
      </c>
      <c r="C3628" s="4">
        <v>53</v>
      </c>
      <c r="D3628" s="3">
        <v>0.94786656000000002</v>
      </c>
      <c r="E3628" s="1">
        <v>0.54501604999999997</v>
      </c>
      <c r="F3628" s="2">
        <v>0.68803537000000003</v>
      </c>
    </row>
    <row r="3629" spans="1:6" x14ac:dyDescent="0.25">
      <c r="A3629" t="s">
        <v>6</v>
      </c>
      <c r="B3629" s="5" t="str">
        <f>HYPERLINK("http://www.broadinstitute.org/gsea/msigdb/cards/GOBP_REGULATION_OF_SYNAPTIC_TRANSMISSION_GLUTAMATERGIC.html","GOBP_REGULATION_OF_SYNAPTIC_TRANSMISSION_GLUTAMATERGIC")</f>
        <v>GOBP_REGULATION_OF_SYNAPTIC_TRANSMISSION_GLUTAMATERGIC</v>
      </c>
      <c r="C3629" s="4">
        <v>88</v>
      </c>
      <c r="D3629" s="3">
        <v>0.94762676999999995</v>
      </c>
      <c r="E3629" s="1">
        <v>0.58059466000000004</v>
      </c>
      <c r="F3629" s="2">
        <v>0.68843750000000004</v>
      </c>
    </row>
    <row r="3630" spans="1:6" x14ac:dyDescent="0.25">
      <c r="A3630" t="s">
        <v>11</v>
      </c>
      <c r="B3630" s="5" t="str">
        <f>HYPERLINK("http://www.broadinstitute.org/gsea/msigdb/cards/WP_TRANSLATION_FACTORS.html","WP_TRANSLATION_FACTORS")</f>
        <v>WP_TRANSLATION_FACTORS</v>
      </c>
      <c r="C3630" s="4">
        <v>47</v>
      </c>
      <c r="D3630" s="3">
        <v>0.94760734000000002</v>
      </c>
      <c r="E3630" s="1">
        <v>0.52777779999999996</v>
      </c>
      <c r="F3630" s="2">
        <v>0.68829870000000004</v>
      </c>
    </row>
    <row r="3631" spans="1:6" x14ac:dyDescent="0.25">
      <c r="A3631" t="s">
        <v>9</v>
      </c>
      <c r="B3631" s="5" t="str">
        <f>HYPERLINK("http://www.broadinstitute.org/gsea/msigdb/cards/HALLMARK_WNT_BETA_CATENIN_SIGNALING.html","HALLMARK_WNT_BETA_CATENIN_SIGNALING")</f>
        <v>HALLMARK_WNT_BETA_CATENIN_SIGNALING</v>
      </c>
      <c r="C3631" s="4">
        <v>42</v>
      </c>
      <c r="D3631" s="3">
        <v>0.94664420000000005</v>
      </c>
      <c r="E3631" s="1">
        <v>0.53355706000000003</v>
      </c>
      <c r="F3631" s="2">
        <v>0.69046479999999999</v>
      </c>
    </row>
    <row r="3632" spans="1:6" x14ac:dyDescent="0.25">
      <c r="A3632" t="s">
        <v>6</v>
      </c>
      <c r="B3632" s="5" t="str">
        <f>HYPERLINK("http://www.broadinstitute.org/gsea/msigdb/cards/GOBP_OLFACTORY_LOBE_DEVELOPMENT.html","GOBP_OLFACTORY_LOBE_DEVELOPMENT")</f>
        <v>GOBP_OLFACTORY_LOBE_DEVELOPMENT</v>
      </c>
      <c r="C3632" s="4">
        <v>44</v>
      </c>
      <c r="D3632" s="3">
        <v>0.94501597000000004</v>
      </c>
      <c r="E3632" s="1">
        <v>0.53571427000000005</v>
      </c>
      <c r="F3632" s="2">
        <v>0.69419410000000004</v>
      </c>
    </row>
    <row r="3633" spans="1:6" x14ac:dyDescent="0.25">
      <c r="A3633" t="s">
        <v>6</v>
      </c>
      <c r="B3633" s="5" t="str">
        <f>HYPERLINK("http://www.broadinstitute.org/gsea/msigdb/cards/GOBP_CONNECTIVE_TISSUE_DEVELOPMENT.html","GOBP_CONNECTIVE_TISSUE_DEVELOPMENT")</f>
        <v>GOBP_CONNECTIVE_TISSUE_DEVELOPMENT</v>
      </c>
      <c r="C3633" s="4">
        <v>304</v>
      </c>
      <c r="D3633" s="3">
        <v>0.94501084000000002</v>
      </c>
      <c r="E3633" s="1">
        <v>0.62318839999999998</v>
      </c>
      <c r="F3633" s="2">
        <v>0.69401489999999999</v>
      </c>
    </row>
    <row r="3634" spans="1:6" x14ac:dyDescent="0.25">
      <c r="A3634" t="s">
        <v>6</v>
      </c>
      <c r="B3634" s="5" t="str">
        <f>HYPERLINK("http://www.broadinstitute.org/gsea/msigdb/cards/GOBP_STEROL_METABOLIC_PROCESS.html","GOBP_STEROL_METABOLIC_PROCESS")</f>
        <v>GOBP_STEROL_METABOLIC_PROCESS</v>
      </c>
      <c r="C3634" s="4">
        <v>152</v>
      </c>
      <c r="D3634" s="3">
        <v>0.9448647</v>
      </c>
      <c r="E3634" s="1">
        <v>0.58625733999999996</v>
      </c>
      <c r="F3634" s="2">
        <v>0.69417965000000004</v>
      </c>
    </row>
    <row r="3635" spans="1:6" x14ac:dyDescent="0.25">
      <c r="A3635" t="s">
        <v>8</v>
      </c>
      <c r="B3635" s="5" t="str">
        <f>HYPERLINK("http://www.broadinstitute.org/gsea/msigdb/cards/GOMF_SECONDARY_ACTIVE_MONOCARBOXYLATE_TRANSMEMBRANE_TRANSPORTER_ACTIVITY.html","GOMF_SECONDARY_ACTIVE_MONOCARBOXYLATE_TRANSMEMBRANE_TRANSPORTER_ACTIVITY")</f>
        <v>GOMF_SECONDARY_ACTIVE_MONOCARBOXYLATE_TRANSMEMBRANE_TRANSPORTER_ACTIVITY</v>
      </c>
      <c r="C3635" s="4">
        <v>17</v>
      </c>
      <c r="D3635" s="3">
        <v>0.94476139999999997</v>
      </c>
      <c r="E3635" s="1">
        <v>0.53057849999999995</v>
      </c>
      <c r="F3635" s="2">
        <v>0.6942528</v>
      </c>
    </row>
    <row r="3636" spans="1:6" x14ac:dyDescent="0.25">
      <c r="A3636" t="s">
        <v>6</v>
      </c>
      <c r="B3636" s="5" t="str">
        <f>HYPERLINK("http://www.broadinstitute.org/gsea/msigdb/cards/GOBP_REGULATION_OF_PHOSPHOLIPID_BIOSYNTHETIC_PROCESS.html","GOBP_REGULATION_OF_PHOSPHOLIPID_BIOSYNTHETIC_PROCESS")</f>
        <v>GOBP_REGULATION_OF_PHOSPHOLIPID_BIOSYNTHETIC_PROCESS</v>
      </c>
      <c r="C3636" s="4">
        <v>21</v>
      </c>
      <c r="D3636" s="3">
        <v>0.9444477</v>
      </c>
      <c r="E3636" s="1">
        <v>0.53427064000000002</v>
      </c>
      <c r="F3636" s="2">
        <v>0.69479500000000005</v>
      </c>
    </row>
    <row r="3637" spans="1:6" x14ac:dyDescent="0.25">
      <c r="A3637" t="s">
        <v>11</v>
      </c>
      <c r="B3637" s="5" t="str">
        <f>HYPERLINK("http://www.broadinstitute.org/gsea/msigdb/cards/WP_EICOSANOID_METABOLISM_VIA_LIPOXYGENASES_LOX.html","WP_EICOSANOID_METABOLISM_VIA_LIPOXYGENASES_LOX")</f>
        <v>WP_EICOSANOID_METABOLISM_VIA_LIPOXYGENASES_LOX</v>
      </c>
      <c r="C3637" s="4">
        <v>25</v>
      </c>
      <c r="D3637" s="3">
        <v>0.94444287000000005</v>
      </c>
      <c r="E3637" s="1">
        <v>0.53410983000000001</v>
      </c>
      <c r="F3637" s="2">
        <v>0.69461660000000003</v>
      </c>
    </row>
    <row r="3638" spans="1:6" x14ac:dyDescent="0.25">
      <c r="A3638" t="s">
        <v>6</v>
      </c>
      <c r="B3638" s="5" t="str">
        <f>HYPERLINK("http://www.broadinstitute.org/gsea/msigdb/cards/GOBP_ISOPRENOID_METABOLIC_PROCESS.html","GOBP_ISOPRENOID_METABOLIC_PROCESS")</f>
        <v>GOBP_ISOPRENOID_METABOLIC_PROCESS</v>
      </c>
      <c r="C3638" s="4">
        <v>104</v>
      </c>
      <c r="D3638" s="3">
        <v>0.94428889999999999</v>
      </c>
      <c r="E3638" s="1">
        <v>0.57076925000000001</v>
      </c>
      <c r="F3638" s="2">
        <v>0.69480819999999999</v>
      </c>
    </row>
    <row r="3639" spans="1:6" x14ac:dyDescent="0.25">
      <c r="A3639" t="s">
        <v>6</v>
      </c>
      <c r="B3639" s="5" t="str">
        <f>HYPERLINK("http://www.broadinstitute.org/gsea/msigdb/cards/GOBP_CELLULAR_RESPONSE_TO_ALCOHOL.html","GOBP_CELLULAR_RESPONSE_TO_ALCOHOL")</f>
        <v>GOBP_CELLULAR_RESPONSE_TO_ALCOHOL</v>
      </c>
      <c r="C3639" s="4">
        <v>97</v>
      </c>
      <c r="D3639" s="3">
        <v>0.944249</v>
      </c>
      <c r="E3639" s="1">
        <v>0.56422019999999995</v>
      </c>
      <c r="F3639" s="2">
        <v>0.69470860000000001</v>
      </c>
    </row>
    <row r="3640" spans="1:6" x14ac:dyDescent="0.25">
      <c r="A3640" t="s">
        <v>6</v>
      </c>
      <c r="B3640" s="5" t="str">
        <f>HYPERLINK("http://www.broadinstitute.org/gsea/msigdb/cards/GOBP_NEURON_CELLULAR_HOMEOSTASIS.html","GOBP_NEURON_CELLULAR_HOMEOSTASIS")</f>
        <v>GOBP_NEURON_CELLULAR_HOMEOSTASIS</v>
      </c>
      <c r="C3640" s="4">
        <v>71</v>
      </c>
      <c r="D3640" s="3">
        <v>0.94424593000000001</v>
      </c>
      <c r="E3640" s="1">
        <v>0.55660379999999998</v>
      </c>
      <c r="F3640" s="2">
        <v>0.69452404999999995</v>
      </c>
    </row>
    <row r="3641" spans="1:6" x14ac:dyDescent="0.25">
      <c r="A3641" t="s">
        <v>6</v>
      </c>
      <c r="B3641" s="5" t="str">
        <f>HYPERLINK("http://www.broadinstitute.org/gsea/msigdb/cards/GOBP_PLASMA_MEMBRANE_PHOSPHOLIPID_SCRAMBLING.html","GOBP_PLASMA_MEMBRANE_PHOSPHOLIPID_SCRAMBLING")</f>
        <v>GOBP_PLASMA_MEMBRANE_PHOSPHOLIPID_SCRAMBLING</v>
      </c>
      <c r="C3641" s="4">
        <v>19</v>
      </c>
      <c r="D3641" s="3">
        <v>0.94421900000000003</v>
      </c>
      <c r="E3641" s="1">
        <v>0.54044753000000001</v>
      </c>
      <c r="F3641" s="2">
        <v>0.69440942999999999</v>
      </c>
    </row>
    <row r="3642" spans="1:6" x14ac:dyDescent="0.25">
      <c r="A3642" t="s">
        <v>10</v>
      </c>
      <c r="B3642" s="5" t="str">
        <f>HYPERLINK("http://www.broadinstitute.org/gsea/msigdb/cards/REACTOME_IRON_UPTAKE_AND_TRANSPORT.html","REACTOME_IRON_UPTAKE_AND_TRANSPORT")</f>
        <v>REACTOME_IRON_UPTAKE_AND_TRANSPORT</v>
      </c>
      <c r="C3642" s="4">
        <v>53</v>
      </c>
      <c r="D3642" s="3">
        <v>0.94385993000000001</v>
      </c>
      <c r="E3642" s="1">
        <v>0.54761903999999995</v>
      </c>
      <c r="F3642" s="2">
        <v>0.69509125000000005</v>
      </c>
    </row>
    <row r="3643" spans="1:6" x14ac:dyDescent="0.25">
      <c r="A3643" t="s">
        <v>6</v>
      </c>
      <c r="B3643" s="5" t="str">
        <f>HYPERLINK("http://www.broadinstitute.org/gsea/msigdb/cards/GOBP_LIPOPROTEIN_CATABOLIC_PROCESS.html","GOBP_LIPOPROTEIN_CATABOLIC_PROCESS")</f>
        <v>GOBP_LIPOPROTEIN_CATABOLIC_PROCESS</v>
      </c>
      <c r="C3643" s="4">
        <v>17</v>
      </c>
      <c r="D3643" s="3">
        <v>0.94372993999999999</v>
      </c>
      <c r="E3643" s="1">
        <v>0.52695650000000005</v>
      </c>
      <c r="F3643" s="2">
        <v>0.69520926000000005</v>
      </c>
    </row>
    <row r="3644" spans="1:6" x14ac:dyDescent="0.25">
      <c r="A3644" t="s">
        <v>6</v>
      </c>
      <c r="B3644" s="5" t="str">
        <f>HYPERLINK("http://www.broadinstitute.org/gsea/msigdb/cards/GOBP_POSITIVE_REGULATION_OF_GLIAL_CELL_DIFFERENTIATION.html","GOBP_POSITIVE_REGULATION_OF_GLIAL_CELL_DIFFERENTIATION")</f>
        <v>GOBP_POSITIVE_REGULATION_OF_GLIAL_CELL_DIFFERENTIATION</v>
      </c>
      <c r="C3644" s="4">
        <v>54</v>
      </c>
      <c r="D3644" s="3">
        <v>0.94320506000000004</v>
      </c>
      <c r="E3644" s="1">
        <v>0.55392160000000001</v>
      </c>
      <c r="F3644" s="2">
        <v>0.69624240000000004</v>
      </c>
    </row>
    <row r="3645" spans="1:6" x14ac:dyDescent="0.25">
      <c r="A3645" t="s">
        <v>8</v>
      </c>
      <c r="B3645" s="5" t="str">
        <f>HYPERLINK("http://www.broadinstitute.org/gsea/msigdb/cards/GOMF_ISOMERASE_ACTIVITY.html","GOMF_ISOMERASE_ACTIVITY")</f>
        <v>GOMF_ISOMERASE_ACTIVITY</v>
      </c>
      <c r="C3645" s="4">
        <v>161</v>
      </c>
      <c r="D3645" s="3">
        <v>0.94314089999999995</v>
      </c>
      <c r="E3645" s="1">
        <v>0.60953800000000002</v>
      </c>
      <c r="F3645" s="2">
        <v>0.69619399999999998</v>
      </c>
    </row>
    <row r="3646" spans="1:6" x14ac:dyDescent="0.25">
      <c r="A3646" t="s">
        <v>6</v>
      </c>
      <c r="B3646" s="5" t="str">
        <f>HYPERLINK("http://www.broadinstitute.org/gsea/msigdb/cards/GOBP_CARBOHYDRATE_HOMEOSTASIS.html","GOBP_CARBOHYDRATE_HOMEOSTASIS")</f>
        <v>GOBP_CARBOHYDRATE_HOMEOSTASIS</v>
      </c>
      <c r="C3646" s="4">
        <v>279</v>
      </c>
      <c r="D3646" s="3">
        <v>0.94217890000000004</v>
      </c>
      <c r="E3646" s="1">
        <v>0.63087249999999995</v>
      </c>
      <c r="F3646" s="2">
        <v>0.69832574999999997</v>
      </c>
    </row>
    <row r="3647" spans="1:6" x14ac:dyDescent="0.25">
      <c r="A3647" t="s">
        <v>6</v>
      </c>
      <c r="B3647" s="5" t="str">
        <f>HYPERLINK("http://www.broadinstitute.org/gsea/msigdb/cards/GOBP_MITOTIC_SPINDLE_ASSEMBLY.html","GOBP_MITOTIC_SPINDLE_ASSEMBLY")</f>
        <v>GOBP_MITOTIC_SPINDLE_ASSEMBLY</v>
      </c>
      <c r="C3647" s="4">
        <v>70</v>
      </c>
      <c r="D3647" s="3">
        <v>0.94139200000000001</v>
      </c>
      <c r="E3647" s="1">
        <v>0.58280253000000004</v>
      </c>
      <c r="F3647" s="2">
        <v>0.70000830000000003</v>
      </c>
    </row>
    <row r="3648" spans="1:6" x14ac:dyDescent="0.25">
      <c r="A3648" t="s">
        <v>6</v>
      </c>
      <c r="B3648" s="5" t="str">
        <f>HYPERLINK("http://www.broadinstitute.org/gsea/msigdb/cards/GOBP_STRIATUM_DEVELOPMENT.html","GOBP_STRIATUM_DEVELOPMENT")</f>
        <v>GOBP_STRIATUM_DEVELOPMENT</v>
      </c>
      <c r="C3648" s="4">
        <v>18</v>
      </c>
      <c r="D3648" s="3">
        <v>0.94131803999999997</v>
      </c>
      <c r="E3648" s="1">
        <v>0.54957986000000003</v>
      </c>
      <c r="F3648" s="2">
        <v>0.70000300000000004</v>
      </c>
    </row>
    <row r="3649" spans="1:6" x14ac:dyDescent="0.25">
      <c r="A3649" t="s">
        <v>6</v>
      </c>
      <c r="B3649" s="5" t="str">
        <f>HYPERLINK("http://www.broadinstitute.org/gsea/msigdb/cards/GOBP_RESPONSE_TO_INTERLEUKIN_7.html","GOBP_RESPONSE_TO_INTERLEUKIN_7")</f>
        <v>GOBP_RESPONSE_TO_INTERLEUKIN_7</v>
      </c>
      <c r="C3649" s="4">
        <v>18</v>
      </c>
      <c r="D3649" s="3">
        <v>0.94122019999999995</v>
      </c>
      <c r="E3649" s="1">
        <v>0.53415060000000003</v>
      </c>
      <c r="F3649" s="2">
        <v>0.70003044999999997</v>
      </c>
    </row>
    <row r="3650" spans="1:6" x14ac:dyDescent="0.25">
      <c r="A3650" t="s">
        <v>6</v>
      </c>
      <c r="B3650" s="5" t="str">
        <f>HYPERLINK("http://www.broadinstitute.org/gsea/msigdb/cards/GOBP_NUCLEIC_ACID_PHOSPHODIESTER_BOND_HYDROLYSIS.html","GOBP_NUCLEIC_ACID_PHOSPHODIESTER_BOND_HYDROLYSIS")</f>
        <v>GOBP_NUCLEIC_ACID_PHOSPHODIESTER_BOND_HYDROLYSIS</v>
      </c>
      <c r="C3650" s="4">
        <v>22</v>
      </c>
      <c r="D3650" s="3">
        <v>0.94105870000000003</v>
      </c>
      <c r="E3650" s="1">
        <v>0.54251700000000003</v>
      </c>
      <c r="F3650" s="2">
        <v>0.70021074999999999</v>
      </c>
    </row>
    <row r="3651" spans="1:6" x14ac:dyDescent="0.25">
      <c r="A3651" t="s">
        <v>6</v>
      </c>
      <c r="B3651" s="5" t="str">
        <f>HYPERLINK("http://www.broadinstitute.org/gsea/msigdb/cards/GOBP_REGULATION_OF_FIBROBLAST_APOPTOTIC_PROCESS.html","GOBP_REGULATION_OF_FIBROBLAST_APOPTOTIC_PROCESS")</f>
        <v>GOBP_REGULATION_OF_FIBROBLAST_APOPTOTIC_PROCESS</v>
      </c>
      <c r="C3651" s="4">
        <v>24</v>
      </c>
      <c r="D3651" s="3">
        <v>0.94083700000000003</v>
      </c>
      <c r="E3651" s="1">
        <v>0.55872480000000002</v>
      </c>
      <c r="F3651" s="2">
        <v>0.70055394999999998</v>
      </c>
    </row>
    <row r="3652" spans="1:6" x14ac:dyDescent="0.25">
      <c r="A3652" t="s">
        <v>8</v>
      </c>
      <c r="B3652" s="5" t="str">
        <f>HYPERLINK("http://www.broadinstitute.org/gsea/msigdb/cards/GOMF_UBIQUITIN_BINDING.html","GOMF_UBIQUITIN_BINDING")</f>
        <v>GOMF_UBIQUITIN_BINDING</v>
      </c>
      <c r="C3652" s="4">
        <v>99</v>
      </c>
      <c r="D3652" s="3">
        <v>0.94071389999999999</v>
      </c>
      <c r="E3652" s="1">
        <v>0.59455369999999996</v>
      </c>
      <c r="F3652" s="2">
        <v>0.70067685999999996</v>
      </c>
    </row>
    <row r="3653" spans="1:6" x14ac:dyDescent="0.25">
      <c r="A3653" t="s">
        <v>6</v>
      </c>
      <c r="B3653" s="5" t="str">
        <f>HYPERLINK("http://www.broadinstitute.org/gsea/msigdb/cards/GOBP_REGULATION_OF_ACTIVIN_RECEPTOR_SIGNALING_PATHWAY.html","GOBP_REGULATION_OF_ACTIVIN_RECEPTOR_SIGNALING_PATHWAY")</f>
        <v>GOBP_REGULATION_OF_ACTIVIN_RECEPTOR_SIGNALING_PATHWAY</v>
      </c>
      <c r="C3653" s="4">
        <v>27</v>
      </c>
      <c r="D3653" s="3">
        <v>0.94048863999999999</v>
      </c>
      <c r="E3653" s="1">
        <v>0.54867255999999998</v>
      </c>
      <c r="F3653" s="2">
        <v>0.70104593000000004</v>
      </c>
    </row>
    <row r="3654" spans="1:6" x14ac:dyDescent="0.25">
      <c r="A3654" t="s">
        <v>6</v>
      </c>
      <c r="B3654" s="5" t="str">
        <f>HYPERLINK("http://www.broadinstitute.org/gsea/msigdb/cards/GOBP_REGULATION_OF_HYDROGEN_PEROXIDE_METABOLIC_PROCESS.html","GOBP_REGULATION_OF_HYDROGEN_PEROXIDE_METABOLIC_PROCESS")</f>
        <v>GOBP_REGULATION_OF_HYDROGEN_PEROXIDE_METABOLIC_PROCESS</v>
      </c>
      <c r="C3654" s="4">
        <v>18</v>
      </c>
      <c r="D3654" s="3">
        <v>0.94043880000000002</v>
      </c>
      <c r="E3654" s="1">
        <v>0.54010694999999997</v>
      </c>
      <c r="F3654" s="2">
        <v>0.70098329999999998</v>
      </c>
    </row>
    <row r="3655" spans="1:6" x14ac:dyDescent="0.25">
      <c r="A3655" t="s">
        <v>6</v>
      </c>
      <c r="B3655" s="5" t="str">
        <f>HYPERLINK("http://www.broadinstitute.org/gsea/msigdb/cards/GOBP_POSITIVE_REGULATION_OF_TRANSCRIPTION_ELONGATION_BY_RNA_POLYMERASE_II.html","GOBP_POSITIVE_REGULATION_OF_TRANSCRIPTION_ELONGATION_BY_RNA_POLYMERASE_II")</f>
        <v>GOBP_POSITIVE_REGULATION_OF_TRANSCRIPTION_ELONGATION_BY_RNA_POLYMERASE_II</v>
      </c>
      <c r="C3655" s="4">
        <v>53</v>
      </c>
      <c r="D3655" s="3">
        <v>0.93900729999999999</v>
      </c>
      <c r="E3655" s="1">
        <v>0.54876035000000001</v>
      </c>
      <c r="F3655" s="2">
        <v>0.70428820000000003</v>
      </c>
    </row>
    <row r="3656" spans="1:6" x14ac:dyDescent="0.25">
      <c r="A3656" t="s">
        <v>6</v>
      </c>
      <c r="B3656" s="5" t="str">
        <f>HYPERLINK("http://www.broadinstitute.org/gsea/msigdb/cards/GOBP_POSITIVE_REGULATION_OF_AXON_EXTENSION.html","GOBP_POSITIVE_REGULATION_OF_AXON_EXTENSION")</f>
        <v>GOBP_POSITIVE_REGULATION_OF_AXON_EXTENSION</v>
      </c>
      <c r="C3656" s="4">
        <v>54</v>
      </c>
      <c r="D3656" s="3">
        <v>0.93882847000000003</v>
      </c>
      <c r="E3656" s="1">
        <v>0.55967739999999999</v>
      </c>
      <c r="F3656" s="2">
        <v>0.70451235999999995</v>
      </c>
    </row>
    <row r="3657" spans="1:6" x14ac:dyDescent="0.25">
      <c r="A3657" t="s">
        <v>6</v>
      </c>
      <c r="B3657" s="5" t="str">
        <f>HYPERLINK("http://www.broadinstitute.org/gsea/msigdb/cards/GOBP_SERTOLI_CELL_DIFFERENTIATION.html","GOBP_SERTOLI_CELL_DIFFERENTIATION")</f>
        <v>GOBP_SERTOLI_CELL_DIFFERENTIATION</v>
      </c>
      <c r="C3657" s="4">
        <v>26</v>
      </c>
      <c r="D3657" s="3">
        <v>0.93879646000000005</v>
      </c>
      <c r="E3657" s="1">
        <v>0.54561099999999996</v>
      </c>
      <c r="F3657" s="2">
        <v>0.70440440000000004</v>
      </c>
    </row>
    <row r="3658" spans="1:6" x14ac:dyDescent="0.25">
      <c r="A3658" t="s">
        <v>10</v>
      </c>
      <c r="B3658" s="5" t="str">
        <f>HYPERLINK("http://www.broadinstitute.org/gsea/msigdb/cards/REACTOME_RECOGNITION_OF_DNA_DAMAGE_BY_PCNA_CONTAINING_REPLICATION_COMPLEX.html","REACTOME_RECOGNITION_OF_DNA_DAMAGE_BY_PCNA_CONTAINING_REPLICATION_COMPLEX")</f>
        <v>REACTOME_RECOGNITION_OF_DNA_DAMAGE_BY_PCNA_CONTAINING_REPLICATION_COMPLEX</v>
      </c>
      <c r="C3658" s="4">
        <v>29</v>
      </c>
      <c r="D3658" s="3">
        <v>0.93841326000000003</v>
      </c>
      <c r="E3658" s="1">
        <v>0.55857383999999999</v>
      </c>
      <c r="F3658" s="2">
        <v>0.70512986</v>
      </c>
    </row>
    <row r="3659" spans="1:6" x14ac:dyDescent="0.25">
      <c r="A3659" t="s">
        <v>6</v>
      </c>
      <c r="B3659" s="5" t="str">
        <f>HYPERLINK("http://www.broadinstitute.org/gsea/msigdb/cards/GOBP_POSITIVE_REGULATION_OF_PROTEIN_DEACETYLATION.html","GOBP_POSITIVE_REGULATION_OF_PROTEIN_DEACETYLATION")</f>
        <v>GOBP_POSITIVE_REGULATION_OF_PROTEIN_DEACETYLATION</v>
      </c>
      <c r="C3659" s="4">
        <v>15</v>
      </c>
      <c r="D3659" s="3">
        <v>0.93840979999999996</v>
      </c>
      <c r="E3659" s="1">
        <v>0.54482759999999997</v>
      </c>
      <c r="F3659" s="2">
        <v>0.70494650000000003</v>
      </c>
    </row>
    <row r="3660" spans="1:6" x14ac:dyDescent="0.25">
      <c r="A3660" t="s">
        <v>8</v>
      </c>
      <c r="B3660" s="5" t="str">
        <f>HYPERLINK("http://www.broadinstitute.org/gsea/msigdb/cards/GOMF_MONOOXYGENASE_ACTIVITY.html","GOMF_MONOOXYGENASE_ACTIVITY")</f>
        <v>GOMF_MONOOXYGENASE_ACTIVITY</v>
      </c>
      <c r="C3660" s="4">
        <v>125</v>
      </c>
      <c r="D3660" s="3">
        <v>0.93823559999999995</v>
      </c>
      <c r="E3660" s="1">
        <v>0.602719</v>
      </c>
      <c r="F3660" s="2">
        <v>0.70516086</v>
      </c>
    </row>
    <row r="3661" spans="1:6" x14ac:dyDescent="0.25">
      <c r="A3661" t="s">
        <v>6</v>
      </c>
      <c r="B3661" s="5" t="str">
        <f>HYPERLINK("http://www.broadinstitute.org/gsea/msigdb/cards/GOBP_RESCUE_OF_STALLED_RIBOSOME.html","GOBP_RESCUE_OF_STALLED_RIBOSOME")</f>
        <v>GOBP_RESCUE_OF_STALLED_RIBOSOME</v>
      </c>
      <c r="C3661" s="4">
        <v>30</v>
      </c>
      <c r="D3661" s="3">
        <v>0.93794569999999999</v>
      </c>
      <c r="E3661" s="1">
        <v>0.55348045000000001</v>
      </c>
      <c r="F3661" s="2">
        <v>0.7056654</v>
      </c>
    </row>
    <row r="3662" spans="1:6" x14ac:dyDescent="0.25">
      <c r="A3662" t="s">
        <v>6</v>
      </c>
      <c r="B3662" s="5" t="str">
        <f>HYPERLINK("http://www.broadinstitute.org/gsea/msigdb/cards/GOBP_BLOOD_COAGULATION_FIBRIN_CLOT_FORMATION.html","GOBP_BLOOD_COAGULATION_FIBRIN_CLOT_FORMATION")</f>
        <v>GOBP_BLOOD_COAGULATION_FIBRIN_CLOT_FORMATION</v>
      </c>
      <c r="C3662" s="4">
        <v>15</v>
      </c>
      <c r="D3662" s="3">
        <v>0.93779944999999998</v>
      </c>
      <c r="E3662" s="1">
        <v>0.5225225</v>
      </c>
      <c r="F3662" s="2">
        <v>0.70582663999999995</v>
      </c>
    </row>
    <row r="3663" spans="1:6" x14ac:dyDescent="0.25">
      <c r="A3663" t="s">
        <v>6</v>
      </c>
      <c r="B3663" s="5" t="str">
        <f>HYPERLINK("http://www.broadinstitute.org/gsea/msigdb/cards/GOBP_COLUMNAR_CUBOIDAL_EPITHELIAL_CELL_DEVELOPMENT.html","GOBP_COLUMNAR_CUBOIDAL_EPITHELIAL_CELL_DEVELOPMENT")</f>
        <v>GOBP_COLUMNAR_CUBOIDAL_EPITHELIAL_CELL_DEVELOPMENT</v>
      </c>
      <c r="C3663" s="4">
        <v>53</v>
      </c>
      <c r="D3663" s="3">
        <v>0.93761669999999997</v>
      </c>
      <c r="E3663" s="1">
        <v>0.59013870000000002</v>
      </c>
      <c r="F3663" s="2">
        <v>0.70608230000000005</v>
      </c>
    </row>
    <row r="3664" spans="1:6" x14ac:dyDescent="0.25">
      <c r="A3664" t="s">
        <v>10</v>
      </c>
      <c r="B3664" s="5" t="str">
        <f>HYPERLINK("http://www.broadinstitute.org/gsea/msigdb/cards/REACTOME_RHO_GTPASES_ACTIVATE_FORMINS.html","REACTOME_RHO_GTPASES_ACTIVATE_FORMINS")</f>
        <v>REACTOME_RHO_GTPASES_ACTIVATE_FORMINS</v>
      </c>
      <c r="C3664" s="4">
        <v>133</v>
      </c>
      <c r="D3664" s="3">
        <v>0.93745613000000005</v>
      </c>
      <c r="E3664" s="1">
        <v>0.59939299999999995</v>
      </c>
      <c r="F3664" s="2">
        <v>0.70627859999999998</v>
      </c>
    </row>
    <row r="3665" spans="1:6" x14ac:dyDescent="0.25">
      <c r="A3665" t="s">
        <v>10</v>
      </c>
      <c r="B3665" s="5" t="str">
        <f>HYPERLINK("http://www.broadinstitute.org/gsea/msigdb/cards/REACTOME_SIGNALING_BY_ACTIVIN.html","REACTOME_SIGNALING_BY_ACTIVIN")</f>
        <v>REACTOME_SIGNALING_BY_ACTIVIN</v>
      </c>
      <c r="C3665" s="4">
        <v>15</v>
      </c>
      <c r="D3665" s="3">
        <v>0.93701893000000003</v>
      </c>
      <c r="E3665" s="1">
        <v>0.55593806999999995</v>
      </c>
      <c r="F3665" s="2">
        <v>0.70713950000000003</v>
      </c>
    </row>
    <row r="3666" spans="1:6" x14ac:dyDescent="0.25">
      <c r="A3666" t="s">
        <v>10</v>
      </c>
      <c r="B3666" s="5" t="str">
        <f>HYPERLINK("http://www.broadinstitute.org/gsea/msigdb/cards/REACTOME_SUMOYLATION_OF_UBIQUITINYLATION_PROTEINS.html","REACTOME_SUMOYLATION_OF_UBIQUITINYLATION_PROTEINS")</f>
        <v>REACTOME_SUMOYLATION_OF_UBIQUITINYLATION_PROTEINS</v>
      </c>
      <c r="C3666" s="4">
        <v>38</v>
      </c>
      <c r="D3666" s="3">
        <v>0.93694376999999995</v>
      </c>
      <c r="E3666" s="1">
        <v>0.55740434000000005</v>
      </c>
      <c r="F3666" s="2">
        <v>0.70713970000000004</v>
      </c>
    </row>
    <row r="3667" spans="1:6" x14ac:dyDescent="0.25">
      <c r="A3667" t="s">
        <v>6</v>
      </c>
      <c r="B3667" s="5" t="str">
        <f>HYPERLINK("http://www.broadinstitute.org/gsea/msigdb/cards/GOBP_REPRODUCTIVE_SYSTEM_DEVELOPMENT.html","GOBP_REPRODUCTIVE_SYSTEM_DEVELOPMENT")</f>
        <v>GOBP_REPRODUCTIVE_SYSTEM_DEVELOPMENT</v>
      </c>
      <c r="C3667" s="4">
        <v>315</v>
      </c>
      <c r="D3667" s="3">
        <v>0.9367666</v>
      </c>
      <c r="E3667" s="1">
        <v>0.64921470000000003</v>
      </c>
      <c r="F3667" s="2">
        <v>0.70736829999999995</v>
      </c>
    </row>
    <row r="3668" spans="1:6" x14ac:dyDescent="0.25">
      <c r="A3668" t="s">
        <v>6</v>
      </c>
      <c r="B3668" s="5" t="str">
        <f>HYPERLINK("http://www.broadinstitute.org/gsea/msigdb/cards/GOBP_RETINA_MORPHOGENESIS_IN_CAMERA_TYPE_EYE.html","GOBP_RETINA_MORPHOGENESIS_IN_CAMERA_TYPE_EYE")</f>
        <v>GOBP_RETINA_MORPHOGENESIS_IN_CAMERA_TYPE_EYE</v>
      </c>
      <c r="C3668" s="4">
        <v>74</v>
      </c>
      <c r="D3668" s="3">
        <v>0.93655219999999995</v>
      </c>
      <c r="E3668" s="1">
        <v>0.58346580000000003</v>
      </c>
      <c r="F3668" s="2">
        <v>0.70769994999999997</v>
      </c>
    </row>
    <row r="3669" spans="1:6" x14ac:dyDescent="0.25">
      <c r="A3669" t="s">
        <v>6</v>
      </c>
      <c r="B3669" s="5" t="str">
        <f>HYPERLINK("http://www.broadinstitute.org/gsea/msigdb/cards/GOBP_VESICLE_TRANSPORT_ALONG_MICROTUBULE.html","GOBP_VESICLE_TRANSPORT_ALONG_MICROTUBULE")</f>
        <v>GOBP_VESICLE_TRANSPORT_ALONG_MICROTUBULE</v>
      </c>
      <c r="C3669" s="4">
        <v>47</v>
      </c>
      <c r="D3669" s="3">
        <v>0.93652712999999999</v>
      </c>
      <c r="E3669" s="1">
        <v>0.5778491</v>
      </c>
      <c r="F3669" s="2">
        <v>0.70756655999999996</v>
      </c>
    </row>
    <row r="3670" spans="1:6" x14ac:dyDescent="0.25">
      <c r="A3670" t="s">
        <v>6</v>
      </c>
      <c r="B3670" s="5" t="str">
        <f>HYPERLINK("http://www.broadinstitute.org/gsea/msigdb/cards/GOBP_NEUROTRANSMITTER_GATED_ION_CHANNEL_CLUSTERING.html","GOBP_NEUROTRANSMITTER_GATED_ION_CHANNEL_CLUSTERING")</f>
        <v>GOBP_NEUROTRANSMITTER_GATED_ION_CHANNEL_CLUSTERING</v>
      </c>
      <c r="C3670" s="4">
        <v>22</v>
      </c>
      <c r="D3670" s="3">
        <v>0.93644404000000003</v>
      </c>
      <c r="E3670" s="1">
        <v>0.56560284000000005</v>
      </c>
      <c r="F3670" s="2">
        <v>0.70757389999999998</v>
      </c>
    </row>
    <row r="3671" spans="1:6" x14ac:dyDescent="0.25">
      <c r="A3671" t="s">
        <v>7</v>
      </c>
      <c r="B3671" s="5" t="str">
        <f>HYPERLINK("http://www.broadinstitute.org/gsea/msigdb/cards/GOCC_PHOSPHATASE_COMPLEX.html","GOCC_PHOSPHATASE_COMPLEX")</f>
        <v>GOCC_PHOSPHATASE_COMPLEX</v>
      </c>
      <c r="C3671" s="4">
        <v>49</v>
      </c>
      <c r="D3671" s="3">
        <v>0.93628900000000004</v>
      </c>
      <c r="E3671" s="1">
        <v>0.56852793999999995</v>
      </c>
      <c r="F3671" s="2">
        <v>0.70774550000000003</v>
      </c>
    </row>
    <row r="3672" spans="1:6" x14ac:dyDescent="0.25">
      <c r="A3672" t="s">
        <v>6</v>
      </c>
      <c r="B3672" s="5" t="str">
        <f>HYPERLINK("http://www.broadinstitute.org/gsea/msigdb/cards/GOBP_RESPONSE_TO_ETHANOL.html","GOBP_RESPONSE_TO_ETHANOL")</f>
        <v>GOBP_RESPONSE_TO_ETHANOL</v>
      </c>
      <c r="C3672" s="4">
        <v>66</v>
      </c>
      <c r="D3672" s="3">
        <v>0.93628540000000005</v>
      </c>
      <c r="E3672" s="1">
        <v>0.57777780000000001</v>
      </c>
      <c r="F3672" s="2">
        <v>0.70756006000000005</v>
      </c>
    </row>
    <row r="3673" spans="1:6" x14ac:dyDescent="0.25">
      <c r="A3673" t="s">
        <v>6</v>
      </c>
      <c r="B3673" s="5" t="str">
        <f>HYPERLINK("http://www.broadinstitute.org/gsea/msigdb/cards/GOBP_PHOTORECEPTOR_CELL_DEVELOPMENT.html","GOBP_PHOTORECEPTOR_CELL_DEVELOPMENT")</f>
        <v>GOBP_PHOTORECEPTOR_CELL_DEVELOPMENT</v>
      </c>
      <c r="C3673" s="4">
        <v>58</v>
      </c>
      <c r="D3673" s="3">
        <v>0.93600046999999997</v>
      </c>
      <c r="E3673" s="1">
        <v>0.58706469999999999</v>
      </c>
      <c r="F3673" s="2">
        <v>0.70803890000000003</v>
      </c>
    </row>
    <row r="3674" spans="1:6" x14ac:dyDescent="0.25">
      <c r="A3674" t="s">
        <v>6</v>
      </c>
      <c r="B3674" s="5" t="str">
        <f>HYPERLINK("http://www.broadinstitute.org/gsea/msigdb/cards/GOBP_CELL_PROLIFERATION_INVOLVED_IN_HEART_MORPHOGENESIS.html","GOBP_CELL_PROLIFERATION_INVOLVED_IN_HEART_MORPHOGENESIS")</f>
        <v>GOBP_CELL_PROLIFERATION_INVOLVED_IN_HEART_MORPHOGENESIS</v>
      </c>
      <c r="C3674" s="4">
        <v>22</v>
      </c>
      <c r="D3674" s="3">
        <v>0.93583340000000004</v>
      </c>
      <c r="E3674" s="1">
        <v>0.55897439999999998</v>
      </c>
      <c r="F3674" s="2">
        <v>0.70826140000000004</v>
      </c>
    </row>
    <row r="3675" spans="1:6" x14ac:dyDescent="0.25">
      <c r="A3675" t="s">
        <v>6</v>
      </c>
      <c r="B3675" s="5" t="str">
        <f>HYPERLINK("http://www.broadinstitute.org/gsea/msigdb/cards/GOBP_CYTOPLASMIC_SEQUESTERING_OF_PROTEIN.html","GOBP_CYTOPLASMIC_SEQUESTERING_OF_PROTEIN")</f>
        <v>GOBP_CYTOPLASMIC_SEQUESTERING_OF_PROTEIN</v>
      </c>
      <c r="C3675" s="4">
        <v>23</v>
      </c>
      <c r="D3675" s="3">
        <v>0.93552170000000001</v>
      </c>
      <c r="E3675" s="1">
        <v>0.56966490000000003</v>
      </c>
      <c r="F3675" s="2">
        <v>0.70882500000000004</v>
      </c>
    </row>
    <row r="3676" spans="1:6" x14ac:dyDescent="0.25">
      <c r="A3676" t="s">
        <v>7</v>
      </c>
      <c r="B3676" s="5" t="str">
        <f>HYPERLINK("http://www.broadinstitute.org/gsea/msigdb/cards/GOCC_CHROMATOID_BODY.html","GOCC_CHROMATOID_BODY")</f>
        <v>GOCC_CHROMATOID_BODY</v>
      </c>
      <c r="C3676" s="4">
        <v>17</v>
      </c>
      <c r="D3676" s="3">
        <v>0.93517965000000003</v>
      </c>
      <c r="E3676" s="1">
        <v>0.54462659999999996</v>
      </c>
      <c r="F3676" s="2">
        <v>0.7094608</v>
      </c>
    </row>
    <row r="3677" spans="1:6" x14ac:dyDescent="0.25">
      <c r="A3677" t="s">
        <v>6</v>
      </c>
      <c r="B3677" s="5" t="str">
        <f>HYPERLINK("http://www.broadinstitute.org/gsea/msigdb/cards/GOBP_HAIR_FOLLICLE_MATURATION.html","GOBP_HAIR_FOLLICLE_MATURATION")</f>
        <v>GOBP_HAIR_FOLLICLE_MATURATION</v>
      </c>
      <c r="C3677" s="4">
        <v>28</v>
      </c>
      <c r="D3677" s="3">
        <v>0.93499140000000003</v>
      </c>
      <c r="E3677" s="1">
        <v>0.57166945999999996</v>
      </c>
      <c r="F3677" s="2">
        <v>0.70972276000000001</v>
      </c>
    </row>
    <row r="3678" spans="1:6" x14ac:dyDescent="0.25">
      <c r="A3678" t="s">
        <v>6</v>
      </c>
      <c r="B3678" s="5" t="str">
        <f>HYPERLINK("http://www.broadinstitute.org/gsea/msigdb/cards/GOBP_CARTILAGE_DEVELOPMENT_INVOLVED_IN_ENDOCHONDRAL_BONE_MORPHOGENESIS.html","GOBP_CARTILAGE_DEVELOPMENT_INVOLVED_IN_ENDOCHONDRAL_BONE_MORPHOGENESIS")</f>
        <v>GOBP_CARTILAGE_DEVELOPMENT_INVOLVED_IN_ENDOCHONDRAL_BONE_MORPHOGENESIS</v>
      </c>
      <c r="C3678" s="4">
        <v>41</v>
      </c>
      <c r="D3678" s="3">
        <v>0.93484009999999995</v>
      </c>
      <c r="E3678" s="1">
        <v>0.5703125</v>
      </c>
      <c r="F3678" s="2">
        <v>0.70988640000000003</v>
      </c>
    </row>
    <row r="3679" spans="1:6" x14ac:dyDescent="0.25">
      <c r="A3679" t="s">
        <v>6</v>
      </c>
      <c r="B3679" s="5" t="str">
        <f>HYPERLINK("http://www.broadinstitute.org/gsea/msigdb/cards/GOBP_CARDIOCYTE_DIFFERENTIATION.html","GOBP_CARDIOCYTE_DIFFERENTIATION")</f>
        <v>GOBP_CARDIOCYTE_DIFFERENTIATION</v>
      </c>
      <c r="C3679" s="4">
        <v>191</v>
      </c>
      <c r="D3679" s="3">
        <v>0.93478273999999995</v>
      </c>
      <c r="E3679" s="1">
        <v>0.63715529999999998</v>
      </c>
      <c r="F3679" s="2">
        <v>0.70982825999999999</v>
      </c>
    </row>
    <row r="3680" spans="1:6" x14ac:dyDescent="0.25">
      <c r="A3680" t="s">
        <v>6</v>
      </c>
      <c r="B3680" s="5" t="str">
        <f>HYPERLINK("http://www.broadinstitute.org/gsea/msigdb/cards/GOBP_MICROTUBULE_NUCLEATION.html","GOBP_MICROTUBULE_NUCLEATION")</f>
        <v>GOBP_MICROTUBULE_NUCLEATION</v>
      </c>
      <c r="C3680" s="4">
        <v>35</v>
      </c>
      <c r="D3680" s="3">
        <v>0.93472147000000005</v>
      </c>
      <c r="E3680" s="1">
        <v>0.57894736999999996</v>
      </c>
      <c r="F3680" s="2">
        <v>0.70979327000000003</v>
      </c>
    </row>
    <row r="3681" spans="1:6" x14ac:dyDescent="0.25">
      <c r="A3681" t="s">
        <v>8</v>
      </c>
      <c r="B3681" s="5" t="str">
        <f>HYPERLINK("http://www.broadinstitute.org/gsea/msigdb/cards/GOMF_CATALYTIC_ACTIVITY_ACTING_ON_RNA.html","GOMF_CATALYTIC_ACTIVITY_ACTING_ON_RNA")</f>
        <v>GOMF_CATALYTIC_ACTIVITY_ACTING_ON_RNA</v>
      </c>
      <c r="C3681" s="4">
        <v>373</v>
      </c>
      <c r="D3681" s="3">
        <v>0.93429123999999997</v>
      </c>
      <c r="E3681" s="1">
        <v>0.67137354999999999</v>
      </c>
      <c r="F3681" s="2">
        <v>0.71064925000000001</v>
      </c>
    </row>
    <row r="3682" spans="1:6" x14ac:dyDescent="0.25">
      <c r="A3682" t="s">
        <v>6</v>
      </c>
      <c r="B3682" s="5" t="str">
        <f>HYPERLINK("http://www.broadinstitute.org/gsea/msigdb/cards/GOBP_POST_TRANSLATIONAL_PROTEIN_TARGETING_TO_ENDOPLASMIC_RETICULUM_MEMBRANE.html","GOBP_POST_TRANSLATIONAL_PROTEIN_TARGETING_TO_ENDOPLASMIC_RETICULUM_MEMBRANE")</f>
        <v>GOBP_POST_TRANSLATIONAL_PROTEIN_TARGETING_TO_ENDOPLASMIC_RETICULUM_MEMBRANE</v>
      </c>
      <c r="C3682" s="4">
        <v>18</v>
      </c>
      <c r="D3682" s="3">
        <v>0.93417760000000005</v>
      </c>
      <c r="E3682" s="1">
        <v>0.56281406</v>
      </c>
      <c r="F3682" s="2">
        <v>0.71072659999999999</v>
      </c>
    </row>
    <row r="3683" spans="1:6" x14ac:dyDescent="0.25">
      <c r="A3683" t="s">
        <v>10</v>
      </c>
      <c r="B3683" s="5" t="str">
        <f>HYPERLINK("http://www.broadinstitute.org/gsea/msigdb/cards/REACTOME_E3_UBIQUITIN_LIGASES_UBIQUITINATE_TARGET_PROTEINS.html","REACTOME_E3_UBIQUITIN_LIGASES_UBIQUITINATE_TARGET_PROTEINS")</f>
        <v>REACTOME_E3_UBIQUITIN_LIGASES_UBIQUITINATE_TARGET_PROTEINS</v>
      </c>
      <c r="C3683" s="4">
        <v>50</v>
      </c>
      <c r="D3683" s="3">
        <v>0.93357409999999996</v>
      </c>
      <c r="E3683" s="1">
        <v>0.57868019999999998</v>
      </c>
      <c r="F3683" s="2">
        <v>0.71197719999999998</v>
      </c>
    </row>
    <row r="3684" spans="1:6" x14ac:dyDescent="0.25">
      <c r="A3684" t="s">
        <v>6</v>
      </c>
      <c r="B3684" s="5" t="str">
        <f>HYPERLINK("http://www.broadinstitute.org/gsea/msigdb/cards/GOBP_NUCLEAR_MEMBRANE_REASSEMBLY.html","GOBP_NUCLEAR_MEMBRANE_REASSEMBLY")</f>
        <v>GOBP_NUCLEAR_MEMBRANE_REASSEMBLY</v>
      </c>
      <c r="C3684" s="4">
        <v>20</v>
      </c>
      <c r="D3684" s="3">
        <v>0.93280030000000003</v>
      </c>
      <c r="E3684" s="1">
        <v>0.55363320000000005</v>
      </c>
      <c r="F3684" s="2">
        <v>0.71364119999999998</v>
      </c>
    </row>
    <row r="3685" spans="1:6" x14ac:dyDescent="0.25">
      <c r="A3685" t="s">
        <v>6</v>
      </c>
      <c r="B3685" s="5" t="str">
        <f>HYPERLINK("http://www.broadinstitute.org/gsea/msigdb/cards/GOBP_REGULATION_OF_CENTROSOME_DUPLICATION.html","GOBP_REGULATION_OF_CENTROSOME_DUPLICATION")</f>
        <v>GOBP_REGULATION_OF_CENTROSOME_DUPLICATION</v>
      </c>
      <c r="C3685" s="4">
        <v>47</v>
      </c>
      <c r="D3685" s="3">
        <v>0.93279325999999996</v>
      </c>
      <c r="E3685" s="1">
        <v>0.59773827000000002</v>
      </c>
      <c r="F3685" s="2">
        <v>0.71346030000000005</v>
      </c>
    </row>
    <row r="3686" spans="1:6" x14ac:dyDescent="0.25">
      <c r="A3686" t="s">
        <v>6</v>
      </c>
      <c r="B3686" s="5" t="str">
        <f>HYPERLINK("http://www.broadinstitute.org/gsea/msigdb/cards/GOBP_RENAL_TUBULAR_SECRETION.html","GOBP_RENAL_TUBULAR_SECRETION")</f>
        <v>GOBP_RENAL_TUBULAR_SECRETION</v>
      </c>
      <c r="C3686" s="4">
        <v>17</v>
      </c>
      <c r="D3686" s="3">
        <v>0.93267166999999995</v>
      </c>
      <c r="E3686" s="1">
        <v>0.54838710000000002</v>
      </c>
      <c r="F3686" s="2">
        <v>0.71355369999999996</v>
      </c>
    </row>
    <row r="3687" spans="1:6" x14ac:dyDescent="0.25">
      <c r="A3687" t="s">
        <v>6</v>
      </c>
      <c r="B3687" s="5" t="str">
        <f>HYPERLINK("http://www.broadinstitute.org/gsea/msigdb/cards/GOBP_POSITIVE_REGULATION_OF_MITOCHONDRIAL_MEMBRANE_POTENTIAL.html","GOBP_POSITIVE_REGULATION_OF_MITOCHONDRIAL_MEMBRANE_POTENTIAL")</f>
        <v>GOBP_POSITIVE_REGULATION_OF_MITOCHONDRIAL_MEMBRANE_POTENTIAL</v>
      </c>
      <c r="C3687" s="4">
        <v>16</v>
      </c>
      <c r="D3687" s="3">
        <v>0.93238370000000004</v>
      </c>
      <c r="E3687" s="1">
        <v>0.55555560000000004</v>
      </c>
      <c r="F3687" s="2">
        <v>0.71406829999999999</v>
      </c>
    </row>
    <row r="3688" spans="1:6" x14ac:dyDescent="0.25">
      <c r="A3688" t="s">
        <v>6</v>
      </c>
      <c r="B3688" s="5" t="str">
        <f>HYPERLINK("http://www.broadinstitute.org/gsea/msigdb/cards/GOBP_CELLULAR_RESPONSE_TO_OXYGEN_RADICAL.html","GOBP_CELLULAR_RESPONSE_TO_OXYGEN_RADICAL")</f>
        <v>GOBP_CELLULAR_RESPONSE_TO_OXYGEN_RADICAL</v>
      </c>
      <c r="C3688" s="4">
        <v>20</v>
      </c>
      <c r="D3688" s="3">
        <v>0.93217903000000002</v>
      </c>
      <c r="E3688" s="1">
        <v>0.55826085999999997</v>
      </c>
      <c r="F3688" s="2">
        <v>0.71435959999999998</v>
      </c>
    </row>
    <row r="3689" spans="1:6" x14ac:dyDescent="0.25">
      <c r="A3689" t="s">
        <v>8</v>
      </c>
      <c r="B3689" s="5" t="str">
        <f>HYPERLINK("http://www.broadinstitute.org/gsea/msigdb/cards/GOMF_CARGO_ADAPTOR_ACTIVITY.html","GOMF_CARGO_ADAPTOR_ACTIVITY")</f>
        <v>GOMF_CARGO_ADAPTOR_ACTIVITY</v>
      </c>
      <c r="C3689" s="4">
        <v>21</v>
      </c>
      <c r="D3689" s="3">
        <v>0.93147420000000003</v>
      </c>
      <c r="E3689" s="1">
        <v>0.55892249999999999</v>
      </c>
      <c r="F3689" s="2">
        <v>0.71587330000000005</v>
      </c>
    </row>
    <row r="3690" spans="1:6" x14ac:dyDescent="0.25">
      <c r="A3690" t="s">
        <v>6</v>
      </c>
      <c r="B3690" s="5" t="str">
        <f>HYPERLINK("http://www.broadinstitute.org/gsea/msigdb/cards/GOBP_POSITIVE_REGULATION_OF_LONG_TERM_SYNAPTIC_POTENTIATION.html","GOBP_POSITIVE_REGULATION_OF_LONG_TERM_SYNAPTIC_POTENTIATION")</f>
        <v>GOBP_POSITIVE_REGULATION_OF_LONG_TERM_SYNAPTIC_POTENTIATION</v>
      </c>
      <c r="C3690" s="4">
        <v>32</v>
      </c>
      <c r="D3690" s="3">
        <v>0.93114114000000003</v>
      </c>
      <c r="E3690" s="1">
        <v>0.56930689999999995</v>
      </c>
      <c r="F3690" s="2">
        <v>0.71651023999999996</v>
      </c>
    </row>
    <row r="3691" spans="1:6" x14ac:dyDescent="0.25">
      <c r="A3691" t="s">
        <v>7</v>
      </c>
      <c r="B3691" s="5" t="str">
        <f>HYPERLINK("http://www.broadinstitute.org/gsea/msigdb/cards/GOCC_EXTRINSIC_COMPONENT_OF_SYNAPTIC_MEMBRANE.html","GOCC_EXTRINSIC_COMPONENT_OF_SYNAPTIC_MEMBRANE")</f>
        <v>GOCC_EXTRINSIC_COMPONENT_OF_SYNAPTIC_MEMBRANE</v>
      </c>
      <c r="C3691" s="4">
        <v>31</v>
      </c>
      <c r="D3691" s="3">
        <v>0.9304057</v>
      </c>
      <c r="E3691" s="1">
        <v>0.5701754</v>
      </c>
      <c r="F3691" s="2">
        <v>0.71809299999999998</v>
      </c>
    </row>
    <row r="3692" spans="1:6" x14ac:dyDescent="0.25">
      <c r="A3692" t="s">
        <v>6</v>
      </c>
      <c r="B3692" s="5" t="str">
        <f>HYPERLINK("http://www.broadinstitute.org/gsea/msigdb/cards/GOBP_MIDDLE_EAR_MORPHOGENESIS.html","GOBP_MIDDLE_EAR_MORPHOGENESIS")</f>
        <v>GOBP_MIDDLE_EAR_MORPHOGENESIS</v>
      </c>
      <c r="C3692" s="4">
        <v>26</v>
      </c>
      <c r="D3692" s="3">
        <v>0.93021580000000004</v>
      </c>
      <c r="E3692" s="1">
        <v>0.55896610000000002</v>
      </c>
      <c r="F3692" s="2">
        <v>0.71834909999999996</v>
      </c>
    </row>
    <row r="3693" spans="1:6" x14ac:dyDescent="0.25">
      <c r="A3693" t="s">
        <v>6</v>
      </c>
      <c r="B3693" s="5" t="str">
        <f>HYPERLINK("http://www.broadinstitute.org/gsea/msigdb/cards/GOBP_FEMALE_GAMETE_GENERATION.html","GOBP_FEMALE_GAMETE_GENERATION")</f>
        <v>GOBP_FEMALE_GAMETE_GENERATION</v>
      </c>
      <c r="C3693" s="4">
        <v>173</v>
      </c>
      <c r="D3693" s="3">
        <v>0.92924220000000002</v>
      </c>
      <c r="E3693" s="1">
        <v>0.63556849999999998</v>
      </c>
      <c r="F3693" s="2">
        <v>0.72047346999999995</v>
      </c>
    </row>
    <row r="3694" spans="1:6" x14ac:dyDescent="0.25">
      <c r="A3694" t="s">
        <v>6</v>
      </c>
      <c r="B3694" s="5" t="str">
        <f>HYPERLINK("http://www.broadinstitute.org/gsea/msigdb/cards/GOBP_POSITIVE_REGULATION_OF_ISOTYPE_SWITCHING.html","GOBP_POSITIVE_REGULATION_OF_ISOTYPE_SWITCHING")</f>
        <v>GOBP_POSITIVE_REGULATION_OF_ISOTYPE_SWITCHING</v>
      </c>
      <c r="C3694" s="4">
        <v>29</v>
      </c>
      <c r="D3694" s="3">
        <v>0.9291855</v>
      </c>
      <c r="E3694" s="1">
        <v>0.56550579999999995</v>
      </c>
      <c r="F3694" s="2">
        <v>0.72039836999999995</v>
      </c>
    </row>
    <row r="3695" spans="1:6" x14ac:dyDescent="0.25">
      <c r="A3695" t="s">
        <v>6</v>
      </c>
      <c r="B3695" s="5" t="str">
        <f>HYPERLINK("http://www.broadinstitute.org/gsea/msigdb/cards/GOBP_POSITIVE_REGULATION_OF_DNA_TEMPLATED_TRANSCRIPTION_ELONGATION.html","GOBP_POSITIVE_REGULATION_OF_DNA_TEMPLATED_TRANSCRIPTION_ELONGATION")</f>
        <v>GOBP_POSITIVE_REGULATION_OF_DNA_TEMPLATED_TRANSCRIPTION_ELONGATION</v>
      </c>
      <c r="C3695" s="4">
        <v>64</v>
      </c>
      <c r="D3695" s="3">
        <v>0.92916244000000003</v>
      </c>
      <c r="E3695" s="1">
        <v>0.59193545999999997</v>
      </c>
      <c r="F3695" s="2">
        <v>0.72026239999999997</v>
      </c>
    </row>
    <row r="3696" spans="1:6" x14ac:dyDescent="0.25">
      <c r="A3696" t="s">
        <v>6</v>
      </c>
      <c r="B3696" s="5" t="str">
        <f>HYPERLINK("http://www.broadinstitute.org/gsea/msigdb/cards/GOBP_EXCRETION.html","GOBP_EXCRETION")</f>
        <v>GOBP_EXCRETION</v>
      </c>
      <c r="C3696" s="4">
        <v>30</v>
      </c>
      <c r="D3696" s="3">
        <v>0.92915886999999997</v>
      </c>
      <c r="E3696" s="1">
        <v>0.57303369999999998</v>
      </c>
      <c r="F3696" s="2">
        <v>0.7200744</v>
      </c>
    </row>
    <row r="3697" spans="1:6" x14ac:dyDescent="0.25">
      <c r="A3697" t="s">
        <v>6</v>
      </c>
      <c r="B3697" s="5" t="str">
        <f>HYPERLINK("http://www.broadinstitute.org/gsea/msigdb/cards/GOBP_REGULATION_OF_OXIDATIVE_STRESS_INDUCED_INTRINSIC_APOPTOTIC_SIGNALING_PATHWAY.html","GOBP_REGULATION_OF_OXIDATIVE_STRESS_INDUCED_INTRINSIC_APOPTOTIC_SIGNALING_PATHWAY")</f>
        <v>GOBP_REGULATION_OF_OXIDATIVE_STRESS_INDUCED_INTRINSIC_APOPTOTIC_SIGNALING_PATHWAY</v>
      </c>
      <c r="C3697" s="4">
        <v>38</v>
      </c>
      <c r="D3697" s="3">
        <v>0.92905689999999996</v>
      </c>
      <c r="E3697" s="1">
        <v>0.58399999999999996</v>
      </c>
      <c r="F3697" s="2">
        <v>0.72011599999999998</v>
      </c>
    </row>
    <row r="3698" spans="1:6" x14ac:dyDescent="0.25">
      <c r="A3698" t="s">
        <v>6</v>
      </c>
      <c r="B3698" s="5" t="str">
        <f>HYPERLINK("http://www.broadinstitute.org/gsea/msigdb/cards/GOBP_PHOSPHOLIPID_BIOSYNTHETIC_PROCESS.html","GOBP_PHOSPHOLIPID_BIOSYNTHETIC_PROCESS")</f>
        <v>GOBP_PHOSPHOLIPID_BIOSYNTHETIC_PROCESS</v>
      </c>
      <c r="C3698" s="4">
        <v>221</v>
      </c>
      <c r="D3698" s="3">
        <v>0.92876433999999997</v>
      </c>
      <c r="E3698" s="1">
        <v>0.67289719999999997</v>
      </c>
      <c r="F3698" s="2">
        <v>0.72061246999999995</v>
      </c>
    </row>
    <row r="3699" spans="1:6" x14ac:dyDescent="0.25">
      <c r="A3699" t="s">
        <v>8</v>
      </c>
      <c r="B3699" s="5" t="str">
        <f>HYPERLINK("http://www.broadinstitute.org/gsea/msigdb/cards/GOMF_SOLUTE_PROTON_SYMPORTER_ACTIVITY.html","GOMF_SOLUTE_PROTON_SYMPORTER_ACTIVITY")</f>
        <v>GOMF_SOLUTE_PROTON_SYMPORTER_ACTIVITY</v>
      </c>
      <c r="C3699" s="4">
        <v>19</v>
      </c>
      <c r="D3699" s="3">
        <v>0.92873793999999998</v>
      </c>
      <c r="E3699" s="1">
        <v>0.58247422999999998</v>
      </c>
      <c r="F3699" s="2">
        <v>0.72047656999999998</v>
      </c>
    </row>
    <row r="3700" spans="1:6" x14ac:dyDescent="0.25">
      <c r="A3700" t="s">
        <v>6</v>
      </c>
      <c r="B3700" s="5" t="str">
        <f>HYPERLINK("http://www.broadinstitute.org/gsea/msigdb/cards/GOBP_REGULATION_OF_HEART_RATE_BY_CARDIAC_CONDUCTION.html","GOBP_REGULATION_OF_HEART_RATE_BY_CARDIAC_CONDUCTION")</f>
        <v>GOBP_REGULATION_OF_HEART_RATE_BY_CARDIAC_CONDUCTION</v>
      </c>
      <c r="C3700" s="4">
        <v>35</v>
      </c>
      <c r="D3700" s="3">
        <v>0.9287048</v>
      </c>
      <c r="E3700" s="1">
        <v>0.56920415000000002</v>
      </c>
      <c r="F3700" s="2">
        <v>0.72036210000000001</v>
      </c>
    </row>
    <row r="3701" spans="1:6" x14ac:dyDescent="0.25">
      <c r="A3701" t="s">
        <v>6</v>
      </c>
      <c r="B3701" s="5" t="str">
        <f>HYPERLINK("http://www.broadinstitute.org/gsea/msigdb/cards/GOBP_ACROSOME_REACTION.html","GOBP_ACROSOME_REACTION")</f>
        <v>GOBP_ACROSOME_REACTION</v>
      </c>
      <c r="C3701" s="4">
        <v>35</v>
      </c>
      <c r="D3701" s="3">
        <v>0.92862739999999999</v>
      </c>
      <c r="E3701" s="1">
        <v>0.59128976</v>
      </c>
      <c r="F3701" s="2">
        <v>0.72035260000000001</v>
      </c>
    </row>
    <row r="3702" spans="1:6" x14ac:dyDescent="0.25">
      <c r="A3702" t="s">
        <v>6</v>
      </c>
      <c r="B3702" s="5" t="str">
        <f>HYPERLINK("http://www.broadinstitute.org/gsea/msigdb/cards/GOBP_VESICLE_MEDIATED_TRANSPORT_IN_SYNAPSE.html","GOBP_VESICLE_MEDIATED_TRANSPORT_IN_SYNAPSE")</f>
        <v>GOBP_VESICLE_MEDIATED_TRANSPORT_IN_SYNAPSE</v>
      </c>
      <c r="C3702" s="4">
        <v>268</v>
      </c>
      <c r="D3702" s="3">
        <v>0.92844660000000001</v>
      </c>
      <c r="E3702" s="1">
        <v>0.65075033999999998</v>
      </c>
      <c r="F3702" s="2">
        <v>0.72060126000000002</v>
      </c>
    </row>
    <row r="3703" spans="1:6" x14ac:dyDescent="0.25">
      <c r="A3703" t="s">
        <v>6</v>
      </c>
      <c r="B3703" s="5" t="str">
        <f>HYPERLINK("http://www.broadinstitute.org/gsea/msigdb/cards/GOBP_NEURON_MIGRATION.html","GOBP_NEURON_MIGRATION")</f>
        <v>GOBP_NEURON_MIGRATION</v>
      </c>
      <c r="C3703" s="4">
        <v>205</v>
      </c>
      <c r="D3703" s="3">
        <v>0.92808526999999996</v>
      </c>
      <c r="E3703" s="1">
        <v>0.65006920000000001</v>
      </c>
      <c r="F3703" s="2">
        <v>0.72129107000000003</v>
      </c>
    </row>
    <row r="3704" spans="1:6" x14ac:dyDescent="0.25">
      <c r="A3704" t="s">
        <v>8</v>
      </c>
      <c r="B3704" s="5" t="str">
        <f>HYPERLINK("http://www.broadinstitute.org/gsea/msigdb/cards/GOMF_VITAMIN_B6_BINDING.html","GOMF_VITAMIN_B6_BINDING")</f>
        <v>GOMF_VITAMIN_B6_BINDING</v>
      </c>
      <c r="C3704" s="4">
        <v>53</v>
      </c>
      <c r="D3704" s="3">
        <v>0.92777836000000002</v>
      </c>
      <c r="E3704" s="1">
        <v>0.59324759999999999</v>
      </c>
      <c r="F3704" s="2">
        <v>0.72183626999999995</v>
      </c>
    </row>
    <row r="3705" spans="1:6" x14ac:dyDescent="0.25">
      <c r="A3705" t="s">
        <v>8</v>
      </c>
      <c r="B3705" s="5" t="str">
        <f>HYPERLINK("http://www.broadinstitute.org/gsea/msigdb/cards/GOMF_VITAMIN_TRANSMEMBRANE_TRANSPORTER_ACTIVITY.html","GOMF_VITAMIN_TRANSMEMBRANE_TRANSPORTER_ACTIVITY")</f>
        <v>GOMF_VITAMIN_TRANSMEMBRANE_TRANSPORTER_ACTIVITY</v>
      </c>
      <c r="C3705" s="4">
        <v>32</v>
      </c>
      <c r="D3705" s="3">
        <v>0.92776369999999997</v>
      </c>
      <c r="E3705" s="1">
        <v>0.57912456999999995</v>
      </c>
      <c r="F3705" s="2">
        <v>0.72167729999999997</v>
      </c>
    </row>
    <row r="3706" spans="1:6" x14ac:dyDescent="0.25">
      <c r="A3706" t="s">
        <v>6</v>
      </c>
      <c r="B3706" s="5" t="str">
        <f>HYPERLINK("http://www.broadinstitute.org/gsea/msigdb/cards/GOBP_NEGATIVE_REGULATION_OF_CELL_DIVISION.html","GOBP_NEGATIVE_REGULATION_OF_CELL_DIVISION")</f>
        <v>GOBP_NEGATIVE_REGULATION_OF_CELL_DIVISION</v>
      </c>
      <c r="C3706" s="4">
        <v>15</v>
      </c>
      <c r="D3706" s="3">
        <v>0.92698645999999996</v>
      </c>
      <c r="E3706" s="1">
        <v>0.58532419999999996</v>
      </c>
      <c r="F3706" s="2">
        <v>0.72334474000000004</v>
      </c>
    </row>
    <row r="3707" spans="1:6" x14ac:dyDescent="0.25">
      <c r="A3707" t="s">
        <v>8</v>
      </c>
      <c r="B3707" s="5" t="str">
        <f>HYPERLINK("http://www.broadinstitute.org/gsea/msigdb/cards/GOMF_IONOTROPIC_GLUTAMATE_RECEPTOR_BINDING.html","GOMF_IONOTROPIC_GLUTAMATE_RECEPTOR_BINDING")</f>
        <v>GOMF_IONOTROPIC_GLUTAMATE_RECEPTOR_BINDING</v>
      </c>
      <c r="C3707" s="4">
        <v>49</v>
      </c>
      <c r="D3707" s="3">
        <v>0.92696579999999995</v>
      </c>
      <c r="E3707" s="1">
        <v>0.58957654000000004</v>
      </c>
      <c r="F3707" s="2">
        <v>0.72319829999999996</v>
      </c>
    </row>
    <row r="3708" spans="1:6" x14ac:dyDescent="0.25">
      <c r="A3708" t="s">
        <v>6</v>
      </c>
      <c r="B3708" s="5" t="str">
        <f>HYPERLINK("http://www.broadinstitute.org/gsea/msigdb/cards/GOBP_KIDNEY_EPITHELIUM_DEVELOPMENT.html","GOBP_KIDNEY_EPITHELIUM_DEVELOPMENT")</f>
        <v>GOBP_KIDNEY_EPITHELIUM_DEVELOPMENT</v>
      </c>
      <c r="C3708" s="4">
        <v>151</v>
      </c>
      <c r="D3708" s="3">
        <v>0.92668205000000003</v>
      </c>
      <c r="E3708" s="1">
        <v>0.65522389999999997</v>
      </c>
      <c r="F3708" s="2">
        <v>0.72367429999999999</v>
      </c>
    </row>
    <row r="3709" spans="1:6" x14ac:dyDescent="0.25">
      <c r="A3709" t="s">
        <v>6</v>
      </c>
      <c r="B3709" s="5" t="str">
        <f>HYPERLINK("http://www.broadinstitute.org/gsea/msigdb/cards/GOBP_REGULATION_OF_ADIPOSE_TISSUE_DEVELOPMENT.html","GOBP_REGULATION_OF_ADIPOSE_TISSUE_DEVELOPMENT")</f>
        <v>GOBP_REGULATION_OF_ADIPOSE_TISSUE_DEVELOPMENT</v>
      </c>
      <c r="C3709" s="4">
        <v>17</v>
      </c>
      <c r="D3709" s="3">
        <v>0.92657420000000001</v>
      </c>
      <c r="E3709" s="1">
        <v>0.54515049999999998</v>
      </c>
      <c r="F3709" s="2">
        <v>0.7237422</v>
      </c>
    </row>
    <row r="3710" spans="1:6" x14ac:dyDescent="0.25">
      <c r="A3710" t="s">
        <v>6</v>
      </c>
      <c r="B3710" s="5" t="str">
        <f>HYPERLINK("http://www.broadinstitute.org/gsea/msigdb/cards/GOBP_TETRAHYDROFOLATE_METABOLIC_PROCESS.html","GOBP_TETRAHYDROFOLATE_METABOLIC_PROCESS")</f>
        <v>GOBP_TETRAHYDROFOLATE_METABOLIC_PROCESS</v>
      </c>
      <c r="C3710" s="4">
        <v>17</v>
      </c>
      <c r="D3710" s="3">
        <v>0.92636079999999998</v>
      </c>
      <c r="E3710" s="1">
        <v>0.57264959999999998</v>
      </c>
      <c r="F3710" s="2">
        <v>0.72405339999999996</v>
      </c>
    </row>
    <row r="3711" spans="1:6" x14ac:dyDescent="0.25">
      <c r="A3711" t="s">
        <v>6</v>
      </c>
      <c r="B3711" s="5" t="str">
        <f>HYPERLINK("http://www.broadinstitute.org/gsea/msigdb/cards/GOBP_ENDOPLASMIC_RETICULUM_TUBULAR_NETWORK_ORGANIZATION.html","GOBP_ENDOPLASMIC_RETICULUM_TUBULAR_NETWORK_ORGANIZATION")</f>
        <v>GOBP_ENDOPLASMIC_RETICULUM_TUBULAR_NETWORK_ORGANIZATION</v>
      </c>
      <c r="C3711" s="4">
        <v>21</v>
      </c>
      <c r="D3711" s="3">
        <v>0.92611370000000004</v>
      </c>
      <c r="E3711" s="1">
        <v>0.56097560000000002</v>
      </c>
      <c r="F3711" s="2">
        <v>0.72444916000000004</v>
      </c>
    </row>
    <row r="3712" spans="1:6" x14ac:dyDescent="0.25">
      <c r="A3712" t="s">
        <v>6</v>
      </c>
      <c r="B3712" s="5" t="str">
        <f>HYPERLINK("http://www.broadinstitute.org/gsea/msigdb/cards/GOBP_NUCLEOTIDE_TRANSPORT.html","GOBP_NUCLEOTIDE_TRANSPORT")</f>
        <v>GOBP_NUCLEOTIDE_TRANSPORT</v>
      </c>
      <c r="C3712" s="4">
        <v>35</v>
      </c>
      <c r="D3712" s="3">
        <v>0.92606639999999996</v>
      </c>
      <c r="E3712" s="1">
        <v>0.57679736999999998</v>
      </c>
      <c r="F3712" s="2">
        <v>0.72435819999999995</v>
      </c>
    </row>
    <row r="3713" spans="1:6" x14ac:dyDescent="0.25">
      <c r="A3713" t="s">
        <v>6</v>
      </c>
      <c r="B3713" s="5" t="str">
        <f>HYPERLINK("http://www.broadinstitute.org/gsea/msigdb/cards/GOBP_DENDRITE_DEVELOPMENT.html","GOBP_DENDRITE_DEVELOPMENT")</f>
        <v>GOBP_DENDRITE_DEVELOPMENT</v>
      </c>
      <c r="C3713" s="4">
        <v>321</v>
      </c>
      <c r="D3713" s="3">
        <v>0.92600539999999998</v>
      </c>
      <c r="E3713" s="1">
        <v>0.69032260000000001</v>
      </c>
      <c r="F3713" s="2">
        <v>0.72429410000000005</v>
      </c>
    </row>
    <row r="3714" spans="1:6" x14ac:dyDescent="0.25">
      <c r="A3714" t="s">
        <v>10</v>
      </c>
      <c r="B3714" s="5" t="str">
        <f>HYPERLINK("http://www.broadinstitute.org/gsea/msigdb/cards/REACTOME_PHASE_II_CONJUGATION_OF_COMPOUNDS.html","REACTOME_PHASE_II_CONJUGATION_OF_COMPOUNDS")</f>
        <v>REACTOME_PHASE_II_CONJUGATION_OF_COMPOUNDS</v>
      </c>
      <c r="C3714" s="4">
        <v>89</v>
      </c>
      <c r="D3714" s="3">
        <v>0.92544020000000005</v>
      </c>
      <c r="E3714" s="1">
        <v>0.60450159999999997</v>
      </c>
      <c r="F3714" s="2">
        <v>0.72548263999999996</v>
      </c>
    </row>
    <row r="3715" spans="1:6" x14ac:dyDescent="0.25">
      <c r="A3715" t="s">
        <v>6</v>
      </c>
      <c r="B3715" s="5" t="str">
        <f>HYPERLINK("http://www.broadinstitute.org/gsea/msigdb/cards/GOBP_CELL_REDOX_HOMEOSTASIS.html","GOBP_CELL_REDOX_HOMEOSTASIS")</f>
        <v>GOBP_CELL_REDOX_HOMEOSTASIS</v>
      </c>
      <c r="C3715" s="4">
        <v>31</v>
      </c>
      <c r="D3715" s="3">
        <v>0.92534863999999994</v>
      </c>
      <c r="E3715" s="1">
        <v>0.58306709999999995</v>
      </c>
      <c r="F3715" s="2">
        <v>0.72551054000000004</v>
      </c>
    </row>
    <row r="3716" spans="1:6" x14ac:dyDescent="0.25">
      <c r="A3716" t="s">
        <v>7</v>
      </c>
      <c r="B3716" s="5" t="str">
        <f>HYPERLINK("http://www.broadinstitute.org/gsea/msigdb/cards/GOCC_LUMENAL_SIDE_OF_MEMBRANE.html","GOCC_LUMENAL_SIDE_OF_MEMBRANE")</f>
        <v>GOCC_LUMENAL_SIDE_OF_MEMBRANE</v>
      </c>
      <c r="C3716" s="4">
        <v>18</v>
      </c>
      <c r="D3716" s="3">
        <v>0.92524700000000004</v>
      </c>
      <c r="E3716" s="1">
        <v>0.56445990000000001</v>
      </c>
      <c r="F3716" s="2">
        <v>0.72554635999999995</v>
      </c>
    </row>
    <row r="3717" spans="1:6" x14ac:dyDescent="0.25">
      <c r="A3717" t="s">
        <v>6</v>
      </c>
      <c r="B3717" s="5" t="str">
        <f>HYPERLINK("http://www.broadinstitute.org/gsea/msigdb/cards/GOBP_DNA_REPLICATION_CHECKPOINT_SIGNALING.html","GOBP_DNA_REPLICATION_CHECKPOINT_SIGNALING")</f>
        <v>GOBP_DNA_REPLICATION_CHECKPOINT_SIGNALING</v>
      </c>
      <c r="C3717" s="4">
        <v>16</v>
      </c>
      <c r="D3717" s="3">
        <v>0.92523169999999999</v>
      </c>
      <c r="E3717" s="1">
        <v>0.58553789999999994</v>
      </c>
      <c r="F3717" s="2">
        <v>0.72538530000000001</v>
      </c>
    </row>
    <row r="3718" spans="1:6" x14ac:dyDescent="0.25">
      <c r="A3718" t="s">
        <v>6</v>
      </c>
      <c r="B3718" s="5" t="str">
        <f>HYPERLINK("http://www.broadinstitute.org/gsea/msigdb/cards/GOBP_POSITIVE_REGULATION_OF_STEROID_METABOLIC_PROCESS.html","GOBP_POSITIVE_REGULATION_OF_STEROID_METABOLIC_PROCESS")</f>
        <v>GOBP_POSITIVE_REGULATION_OF_STEROID_METABOLIC_PROCESS</v>
      </c>
      <c r="C3718" s="4">
        <v>36</v>
      </c>
      <c r="D3718" s="3">
        <v>0.92467856000000004</v>
      </c>
      <c r="E3718" s="1">
        <v>0.57262104999999996</v>
      </c>
      <c r="F3718" s="2">
        <v>0.72654569999999996</v>
      </c>
    </row>
    <row r="3719" spans="1:6" x14ac:dyDescent="0.25">
      <c r="A3719" t="s">
        <v>6</v>
      </c>
      <c r="B3719" s="5" t="str">
        <f>HYPERLINK("http://www.broadinstitute.org/gsea/msigdb/cards/GOBP_CIRCADIAN_SLEEP_WAKE_CYCLE_NON_REM_SLEEP.html","GOBP_CIRCADIAN_SLEEP_WAKE_CYCLE_NON_REM_SLEEP")</f>
        <v>GOBP_CIRCADIAN_SLEEP_WAKE_CYCLE_NON_REM_SLEEP</v>
      </c>
      <c r="C3719" s="4">
        <v>16</v>
      </c>
      <c r="D3719" s="3">
        <v>0.92453269999999999</v>
      </c>
      <c r="E3719" s="1">
        <v>0.57731955999999995</v>
      </c>
      <c r="F3719" s="2">
        <v>0.72671485000000002</v>
      </c>
    </row>
    <row r="3720" spans="1:6" x14ac:dyDescent="0.25">
      <c r="A3720" t="s">
        <v>6</v>
      </c>
      <c r="B3720" s="5" t="str">
        <f>HYPERLINK("http://www.broadinstitute.org/gsea/msigdb/cards/GOBP_SPONTANEOUS_SYNAPTIC_TRANSMISSION.html","GOBP_SPONTANEOUS_SYNAPTIC_TRANSMISSION")</f>
        <v>GOBP_SPONTANEOUS_SYNAPTIC_TRANSMISSION</v>
      </c>
      <c r="C3720" s="4">
        <v>18</v>
      </c>
      <c r="D3720" s="3">
        <v>0.92428476000000004</v>
      </c>
      <c r="E3720" s="1">
        <v>0.55258759999999996</v>
      </c>
      <c r="F3720" s="2">
        <v>0.72712003999999997</v>
      </c>
    </row>
    <row r="3721" spans="1:6" x14ac:dyDescent="0.25">
      <c r="A3721" t="s">
        <v>6</v>
      </c>
      <c r="B3721" s="5" t="str">
        <f>HYPERLINK("http://www.broadinstitute.org/gsea/msigdb/cards/GOBP_PROTEIN_CONTAINING_COMPLEX_LOCALIZATION.html","GOBP_PROTEIN_CONTAINING_COMPLEX_LOCALIZATION")</f>
        <v>GOBP_PROTEIN_CONTAINING_COMPLEX_LOCALIZATION</v>
      </c>
      <c r="C3721" s="4">
        <v>242</v>
      </c>
      <c r="D3721" s="3">
        <v>0.92416140000000002</v>
      </c>
      <c r="E3721" s="1">
        <v>0.67852060000000003</v>
      </c>
      <c r="F3721" s="2">
        <v>0.72719800000000001</v>
      </c>
    </row>
    <row r="3722" spans="1:6" x14ac:dyDescent="0.25">
      <c r="A3722" t="s">
        <v>10</v>
      </c>
      <c r="B3722" s="5" t="str">
        <f>HYPERLINK("http://www.broadinstitute.org/gsea/msigdb/cards/REACTOME_PI_3K_CASCADE_FGFR2.html","REACTOME_PI_3K_CASCADE_FGFR2")</f>
        <v>REACTOME_PI_3K_CASCADE_FGFR2</v>
      </c>
      <c r="C3722" s="4">
        <v>22</v>
      </c>
      <c r="D3722" s="3">
        <v>0.92393875000000003</v>
      </c>
      <c r="E3722" s="1">
        <v>0.57023409999999997</v>
      </c>
      <c r="F3722" s="2">
        <v>0.72753599999999996</v>
      </c>
    </row>
    <row r="3723" spans="1:6" x14ac:dyDescent="0.25">
      <c r="A3723" t="s">
        <v>6</v>
      </c>
      <c r="B3723" s="5" t="str">
        <f>HYPERLINK("http://www.broadinstitute.org/gsea/msigdb/cards/GOBP_NEGATIVE_REGULATION_OF_CELL_CYCLE.html","GOBP_NEGATIVE_REGULATION_OF_CELL_CYCLE")</f>
        <v>GOBP_NEGATIVE_REGULATION_OF_CELL_CYCLE</v>
      </c>
      <c r="C3723" s="4">
        <v>374</v>
      </c>
      <c r="D3723" s="3">
        <v>0.92381126000000002</v>
      </c>
      <c r="E3723" s="1">
        <v>0.71683675000000002</v>
      </c>
      <c r="F3723" s="2">
        <v>0.72762090000000001</v>
      </c>
    </row>
    <row r="3724" spans="1:6" x14ac:dyDescent="0.25">
      <c r="A3724" t="s">
        <v>6</v>
      </c>
      <c r="B3724" s="5" t="str">
        <f>HYPERLINK("http://www.broadinstitute.org/gsea/msigdb/cards/GOBP_PHENOL_CONTAINING_COMPOUND_BIOSYNTHETIC_PROCESS.html","GOBP_PHENOL_CONTAINING_COMPOUND_BIOSYNTHETIC_PROCESS")</f>
        <v>GOBP_PHENOL_CONTAINING_COMPOUND_BIOSYNTHETIC_PROCESS</v>
      </c>
      <c r="C3724" s="4">
        <v>52</v>
      </c>
      <c r="D3724" s="3">
        <v>0.92355010000000004</v>
      </c>
      <c r="E3724" s="1">
        <v>0.58785944999999995</v>
      </c>
      <c r="F3724" s="2">
        <v>0.72803854999999995</v>
      </c>
    </row>
    <row r="3725" spans="1:6" x14ac:dyDescent="0.25">
      <c r="A3725" t="s">
        <v>8</v>
      </c>
      <c r="B3725" s="5" t="str">
        <f>HYPERLINK("http://www.broadinstitute.org/gsea/msigdb/cards/GOMF_AMIDE_TRANSMEMBRANE_TRANSPORTER_ACTIVITY.html","GOMF_AMIDE_TRANSMEMBRANE_TRANSPORTER_ACTIVITY")</f>
        <v>GOMF_AMIDE_TRANSMEMBRANE_TRANSPORTER_ACTIVITY</v>
      </c>
      <c r="C3725" s="4">
        <v>50</v>
      </c>
      <c r="D3725" s="3">
        <v>0.92339819999999995</v>
      </c>
      <c r="E3725" s="1">
        <v>0.59651900000000002</v>
      </c>
      <c r="F3725" s="2">
        <v>0.72819226999999997</v>
      </c>
    </row>
    <row r="3726" spans="1:6" x14ac:dyDescent="0.25">
      <c r="A3726" t="s">
        <v>6</v>
      </c>
      <c r="B3726" s="5" t="str">
        <f>HYPERLINK("http://www.broadinstitute.org/gsea/msigdb/cards/GOBP_REGULATION_OF_RAC_PROTEIN_SIGNAL_TRANSDUCTION.html","GOBP_REGULATION_OF_RAC_PROTEIN_SIGNAL_TRANSDUCTION")</f>
        <v>GOBP_REGULATION_OF_RAC_PROTEIN_SIGNAL_TRANSDUCTION</v>
      </c>
      <c r="C3726" s="4">
        <v>28</v>
      </c>
      <c r="D3726" s="3">
        <v>0.92322749999999998</v>
      </c>
      <c r="E3726" s="1">
        <v>0.58660129999999999</v>
      </c>
      <c r="F3726" s="2">
        <v>0.72839253999999998</v>
      </c>
    </row>
    <row r="3727" spans="1:6" x14ac:dyDescent="0.25">
      <c r="A3727" t="s">
        <v>6</v>
      </c>
      <c r="B3727" s="5" t="str">
        <f>HYPERLINK("http://www.broadinstitute.org/gsea/msigdb/cards/GOBP_PHOSPHATIDYLSERINE_METABOLIC_PROCESS.html","GOBP_PHOSPHATIDYLSERINE_METABOLIC_PROCESS")</f>
        <v>GOBP_PHOSPHATIDYLSERINE_METABOLIC_PROCESS</v>
      </c>
      <c r="C3727" s="4">
        <v>21</v>
      </c>
      <c r="D3727" s="3">
        <v>0.92305475000000003</v>
      </c>
      <c r="E3727" s="1">
        <v>0.56271183000000002</v>
      </c>
      <c r="F3727" s="2">
        <v>0.72860910000000001</v>
      </c>
    </row>
    <row r="3728" spans="1:6" x14ac:dyDescent="0.25">
      <c r="A3728" t="s">
        <v>6</v>
      </c>
      <c r="B3728" s="5" t="str">
        <f>HYPERLINK("http://www.broadinstitute.org/gsea/msigdb/cards/GOBP_PROTEIN_TARGETING_TO_MEMBRANE.html","GOBP_PROTEIN_TARGETING_TO_MEMBRANE")</f>
        <v>GOBP_PROTEIN_TARGETING_TO_MEMBRANE</v>
      </c>
      <c r="C3728" s="4">
        <v>117</v>
      </c>
      <c r="D3728" s="3">
        <v>0.92288800000000004</v>
      </c>
      <c r="E3728" s="1">
        <v>0.61436950000000001</v>
      </c>
      <c r="F3728" s="2">
        <v>0.72880990000000001</v>
      </c>
    </row>
    <row r="3729" spans="1:6" x14ac:dyDescent="0.25">
      <c r="A3729" t="s">
        <v>6</v>
      </c>
      <c r="B3729" s="5" t="str">
        <f>HYPERLINK("http://www.broadinstitute.org/gsea/msigdb/cards/GOBP_REGULATION_OF_POSTSYNAPTIC_DENSITY_ASSEMBLY.html","GOBP_REGULATION_OF_POSTSYNAPTIC_DENSITY_ASSEMBLY")</f>
        <v>GOBP_REGULATION_OF_POSTSYNAPTIC_DENSITY_ASSEMBLY</v>
      </c>
      <c r="C3729" s="4">
        <v>15</v>
      </c>
      <c r="D3729" s="3">
        <v>0.92280090000000004</v>
      </c>
      <c r="E3729" s="1">
        <v>0.56968640000000004</v>
      </c>
      <c r="F3729" s="2">
        <v>0.72881680000000004</v>
      </c>
    </row>
    <row r="3730" spans="1:6" x14ac:dyDescent="0.25">
      <c r="A3730" t="s">
        <v>8</v>
      </c>
      <c r="B3730" s="5" t="str">
        <f>HYPERLINK("http://www.broadinstitute.org/gsea/msigdb/cards/GOMF_CARBOXYLIC_ESTER_HYDROLASE_ACTIVITY.html","GOMF_CARBOXYLIC_ESTER_HYDROLASE_ACTIVITY")</f>
        <v>GOMF_CARBOXYLIC_ESTER_HYDROLASE_ACTIVITY</v>
      </c>
      <c r="C3730" s="4">
        <v>155</v>
      </c>
      <c r="D3730" s="3">
        <v>0.92267980000000005</v>
      </c>
      <c r="E3730" s="1">
        <v>0.64492755999999996</v>
      </c>
      <c r="F3730" s="2">
        <v>0.72889269999999995</v>
      </c>
    </row>
    <row r="3731" spans="1:6" x14ac:dyDescent="0.25">
      <c r="A3731" t="s">
        <v>7</v>
      </c>
      <c r="B3731" s="5" t="str">
        <f>HYPERLINK("http://www.broadinstitute.org/gsea/msigdb/cards/GOCC_LATERAL_PLASMA_MEMBRANE.html","GOCC_LATERAL_PLASMA_MEMBRANE")</f>
        <v>GOCC_LATERAL_PLASMA_MEMBRANE</v>
      </c>
      <c r="C3731" s="4">
        <v>72</v>
      </c>
      <c r="D3731" s="3">
        <v>0.92221034000000002</v>
      </c>
      <c r="E3731" s="1">
        <v>0.61160713</v>
      </c>
      <c r="F3731" s="2">
        <v>0.72981446999999999</v>
      </c>
    </row>
    <row r="3732" spans="1:6" x14ac:dyDescent="0.25">
      <c r="A3732" t="s">
        <v>6</v>
      </c>
      <c r="B3732" s="5" t="str">
        <f>HYPERLINK("http://www.broadinstitute.org/gsea/msigdb/cards/GOBP_REGULATION_OF_POSTSYNAPTIC_MEMBRANE_NEUROTRANSMITTER_RECEPTOR_LEVELS.html","GOBP_REGULATION_OF_POSTSYNAPTIC_MEMBRANE_NEUROTRANSMITTER_RECEPTOR_LEVELS")</f>
        <v>GOBP_REGULATION_OF_POSTSYNAPTIC_MEMBRANE_NEUROTRANSMITTER_RECEPTOR_LEVELS</v>
      </c>
      <c r="C3732" s="4">
        <v>132</v>
      </c>
      <c r="D3732" s="3">
        <v>0.92217844999999998</v>
      </c>
      <c r="E3732" s="1">
        <v>0.63150070000000003</v>
      </c>
      <c r="F3732" s="2">
        <v>0.72969649999999997</v>
      </c>
    </row>
    <row r="3733" spans="1:6" x14ac:dyDescent="0.25">
      <c r="A3733" t="s">
        <v>6</v>
      </c>
      <c r="B3733" s="5" t="str">
        <f>HYPERLINK("http://www.broadinstitute.org/gsea/msigdb/cards/GOBP_VENTRICULAR_CARDIAC_MUSCLE_TISSUE_MORPHOGENESIS.html","GOBP_VENTRICULAR_CARDIAC_MUSCLE_TISSUE_MORPHOGENESIS")</f>
        <v>GOBP_VENTRICULAR_CARDIAC_MUSCLE_TISSUE_MORPHOGENESIS</v>
      </c>
      <c r="C3733" s="4">
        <v>52</v>
      </c>
      <c r="D3733" s="3">
        <v>0.92194620000000005</v>
      </c>
      <c r="E3733" s="1">
        <v>0.60188085000000002</v>
      </c>
      <c r="F3733" s="2">
        <v>0.7300451</v>
      </c>
    </row>
    <row r="3734" spans="1:6" x14ac:dyDescent="0.25">
      <c r="A3734" t="s">
        <v>6</v>
      </c>
      <c r="B3734" s="5" t="str">
        <f>HYPERLINK("http://www.broadinstitute.org/gsea/msigdb/cards/GOBP_CELLULAR_RESPONSE_TO_STEROID_HORMONE_STIMULUS.html","GOBP_CELLULAR_RESPONSE_TO_STEROID_HORMONE_STIMULUS")</f>
        <v>GOBP_CELLULAR_RESPONSE_TO_STEROID_HORMONE_STIMULUS</v>
      </c>
      <c r="C3734" s="4">
        <v>176</v>
      </c>
      <c r="D3734" s="3">
        <v>0.9215546</v>
      </c>
      <c r="E3734" s="1">
        <v>0.66525424</v>
      </c>
      <c r="F3734" s="2">
        <v>0.73077990000000004</v>
      </c>
    </row>
    <row r="3735" spans="1:6" x14ac:dyDescent="0.25">
      <c r="A3735" t="s">
        <v>6</v>
      </c>
      <c r="B3735" s="5" t="str">
        <f>HYPERLINK("http://www.broadinstitute.org/gsea/msigdb/cards/GOBP_POSITIVE_REGULATION_OF_PROTEIN_MODIFICATION_BY_SMALL_PROTEIN_CONJUGATION_OR_REMOVAL.html","GOBP_POSITIVE_REGULATION_OF_PROTEIN_MODIFICATION_BY_SMALL_PROTEIN_CONJUGATION_OR_REMOVAL")</f>
        <v>GOBP_POSITIVE_REGULATION_OF_PROTEIN_MODIFICATION_BY_SMALL_PROTEIN_CONJUGATION_OR_REMOVAL</v>
      </c>
      <c r="C3735" s="4">
        <v>142</v>
      </c>
      <c r="D3735" s="3">
        <v>0.92150193000000002</v>
      </c>
      <c r="E3735" s="1">
        <v>0.64005803999999999</v>
      </c>
      <c r="F3735" s="2">
        <v>0.73070455000000001</v>
      </c>
    </row>
    <row r="3736" spans="1:6" x14ac:dyDescent="0.25">
      <c r="A3736" t="s">
        <v>10</v>
      </c>
      <c r="B3736" s="5" t="str">
        <f>HYPERLINK("http://www.broadinstitute.org/gsea/msigdb/cards/REACTOME_ANTIGEN_PROCESSING_UBIQUITINATION_PROTEASOME_DEGRADATION.html","REACTOME_ANTIGEN_PROCESSING_UBIQUITINATION_PROTEASOME_DEGRADATION")</f>
        <v>REACTOME_ANTIGEN_PROCESSING_UBIQUITINATION_PROTEASOME_DEGRADATION</v>
      </c>
      <c r="C3736" s="4">
        <v>295</v>
      </c>
      <c r="D3736" s="3">
        <v>0.92132099999999995</v>
      </c>
      <c r="E3736" s="1">
        <v>0.67592589999999997</v>
      </c>
      <c r="F3736" s="2">
        <v>0.73092109999999999</v>
      </c>
    </row>
    <row r="3737" spans="1:6" x14ac:dyDescent="0.25">
      <c r="A3737" t="s">
        <v>6</v>
      </c>
      <c r="B3737" s="5" t="str">
        <f>HYPERLINK("http://www.broadinstitute.org/gsea/msigdb/cards/GOBP_EPITHELIAL_TO_MESENCHYMAL_TRANSITION_INVOLVED_IN_ENDOCARDIAL_CUSHION_FORMATION.html","GOBP_EPITHELIAL_TO_MESENCHYMAL_TRANSITION_INVOLVED_IN_ENDOCARDIAL_CUSHION_FORMATION")</f>
        <v>GOBP_EPITHELIAL_TO_MESENCHYMAL_TRANSITION_INVOLVED_IN_ENDOCARDIAL_CUSHION_FORMATION</v>
      </c>
      <c r="C3737" s="4">
        <v>18</v>
      </c>
      <c r="D3737" s="3">
        <v>0.92099949999999997</v>
      </c>
      <c r="E3737" s="1">
        <v>0.57388320000000004</v>
      </c>
      <c r="F3737" s="2">
        <v>0.73152757000000002</v>
      </c>
    </row>
    <row r="3738" spans="1:6" x14ac:dyDescent="0.25">
      <c r="A3738" t="s">
        <v>6</v>
      </c>
      <c r="B3738" s="5" t="str">
        <f>HYPERLINK("http://www.broadinstitute.org/gsea/msigdb/cards/GOBP_REGULATION_OF_AXONOGENESIS.html","GOBP_REGULATION_OF_AXONOGENESIS")</f>
        <v>GOBP_REGULATION_OF_AXONOGENESIS</v>
      </c>
      <c r="C3738" s="4">
        <v>184</v>
      </c>
      <c r="D3738" s="3">
        <v>0.92092395000000005</v>
      </c>
      <c r="E3738" s="1">
        <v>0.65395479999999995</v>
      </c>
      <c r="F3738" s="2">
        <v>0.73150820000000005</v>
      </c>
    </row>
    <row r="3739" spans="1:6" x14ac:dyDescent="0.25">
      <c r="A3739" t="s">
        <v>6</v>
      </c>
      <c r="B3739" s="5" t="str">
        <f>HYPERLINK("http://www.broadinstitute.org/gsea/msigdb/cards/GOBP_REGULATION_OF_MEIOTIC_NUCLEAR_DIVISION.html","GOBP_REGULATION_OF_MEIOTIC_NUCLEAR_DIVISION")</f>
        <v>GOBP_REGULATION_OF_MEIOTIC_NUCLEAR_DIVISION</v>
      </c>
      <c r="C3739" s="4">
        <v>36</v>
      </c>
      <c r="D3739" s="3">
        <v>0.92077165999999999</v>
      </c>
      <c r="E3739" s="1">
        <v>0.60457516</v>
      </c>
      <c r="F3739" s="2">
        <v>0.73167616000000002</v>
      </c>
    </row>
    <row r="3740" spans="1:6" x14ac:dyDescent="0.25">
      <c r="A3740" t="s">
        <v>6</v>
      </c>
      <c r="B3740" s="5" t="str">
        <f>HYPERLINK("http://www.broadinstitute.org/gsea/msigdb/cards/GOBP_REGULATION_OF_POSTSYNAPTIC_SPECIALIZATION_ASSEMBLY.html","GOBP_REGULATION_OF_POSTSYNAPTIC_SPECIALIZATION_ASSEMBLY")</f>
        <v>GOBP_REGULATION_OF_POSTSYNAPTIC_SPECIALIZATION_ASSEMBLY</v>
      </c>
      <c r="C3740" s="4">
        <v>20</v>
      </c>
      <c r="D3740" s="3">
        <v>0.92076409999999997</v>
      </c>
      <c r="E3740" s="1">
        <v>0.58131485999999999</v>
      </c>
      <c r="F3740" s="2">
        <v>0.73149805999999995</v>
      </c>
    </row>
    <row r="3741" spans="1:6" x14ac:dyDescent="0.25">
      <c r="A3741" t="s">
        <v>7</v>
      </c>
      <c r="B3741" s="5" t="str">
        <f>HYPERLINK("http://www.broadinstitute.org/gsea/msigdb/cards/GOCC_EXTRINSIC_COMPONENT_OF_PRESYNAPTIC_MEMBRANE.html","GOCC_EXTRINSIC_COMPONENT_OF_PRESYNAPTIC_MEMBRANE")</f>
        <v>GOCC_EXTRINSIC_COMPONENT_OF_PRESYNAPTIC_MEMBRANE</v>
      </c>
      <c r="C3741" s="4">
        <v>15</v>
      </c>
      <c r="D3741" s="3">
        <v>0.92045310000000002</v>
      </c>
      <c r="E3741" s="1">
        <v>0.57876709999999998</v>
      </c>
      <c r="F3741" s="2">
        <v>0.73205184999999995</v>
      </c>
    </row>
    <row r="3742" spans="1:6" x14ac:dyDescent="0.25">
      <c r="A3742" t="s">
        <v>6</v>
      </c>
      <c r="B3742" s="5" t="str">
        <f>HYPERLINK("http://www.broadinstitute.org/gsea/msigdb/cards/GOBP_DENDRITIC_SPINE_MORPHOGENESIS.html","GOBP_DENDRITIC_SPINE_MORPHOGENESIS")</f>
        <v>GOBP_DENDRITIC_SPINE_MORPHOGENESIS</v>
      </c>
      <c r="C3742" s="4">
        <v>76</v>
      </c>
      <c r="D3742" s="3">
        <v>0.92041856</v>
      </c>
      <c r="E3742" s="1">
        <v>0.62211983999999998</v>
      </c>
      <c r="F3742" s="2">
        <v>0.73193330000000001</v>
      </c>
    </row>
    <row r="3743" spans="1:6" x14ac:dyDescent="0.25">
      <c r="A3743" t="s">
        <v>6</v>
      </c>
      <c r="B3743" s="5" t="str">
        <f>HYPERLINK("http://www.broadinstitute.org/gsea/msigdb/cards/GOBP_GLUCOSE_6_PHOSPHATE_METABOLIC_PROCESS.html","GOBP_GLUCOSE_6_PHOSPHATE_METABOLIC_PROCESS")</f>
        <v>GOBP_GLUCOSE_6_PHOSPHATE_METABOLIC_PROCESS</v>
      </c>
      <c r="C3743" s="4">
        <v>29</v>
      </c>
      <c r="D3743" s="3">
        <v>0.91942440000000003</v>
      </c>
      <c r="E3743" s="1">
        <v>0.59067356999999998</v>
      </c>
      <c r="F3743" s="2">
        <v>0.73408777000000003</v>
      </c>
    </row>
    <row r="3744" spans="1:6" x14ac:dyDescent="0.25">
      <c r="A3744" t="s">
        <v>6</v>
      </c>
      <c r="B3744" s="5" t="str">
        <f>HYPERLINK("http://www.broadinstitute.org/gsea/msigdb/cards/GOBP_MESODERM_MORPHOGENESIS.html","GOBP_MESODERM_MORPHOGENESIS")</f>
        <v>GOBP_MESODERM_MORPHOGENESIS</v>
      </c>
      <c r="C3744" s="4">
        <v>70</v>
      </c>
      <c r="D3744" s="3">
        <v>0.91913926999999995</v>
      </c>
      <c r="E3744" s="1">
        <v>0.59746429999999995</v>
      </c>
      <c r="F3744" s="2">
        <v>0.73455910000000002</v>
      </c>
    </row>
    <row r="3745" spans="1:6" x14ac:dyDescent="0.25">
      <c r="A3745" t="s">
        <v>10</v>
      </c>
      <c r="B3745" s="5" t="str">
        <f>HYPERLINK("http://www.broadinstitute.org/gsea/msigdb/cards/REACTOME_FATTY_ACID_METABOLISM.html","REACTOME_FATTY_ACID_METABOLISM")</f>
        <v>REACTOME_FATTY_ACID_METABOLISM</v>
      </c>
      <c r="C3745" s="4">
        <v>161</v>
      </c>
      <c r="D3745" s="3">
        <v>0.91860200000000003</v>
      </c>
      <c r="E3745" s="1">
        <v>0.65052949999999998</v>
      </c>
      <c r="F3745" s="2">
        <v>0.73563915000000002</v>
      </c>
    </row>
    <row r="3746" spans="1:6" x14ac:dyDescent="0.25">
      <c r="A3746" t="s">
        <v>6</v>
      </c>
      <c r="B3746" s="5" t="str">
        <f>HYPERLINK("http://www.broadinstitute.org/gsea/msigdb/cards/GOBP_POSITIVE_REGULATION_OF_BLOOD_PRESSURE.html","GOBP_POSITIVE_REGULATION_OF_BLOOD_PRESSURE")</f>
        <v>GOBP_POSITIVE_REGULATION_OF_BLOOD_PRESSURE</v>
      </c>
      <c r="C3746" s="4">
        <v>54</v>
      </c>
      <c r="D3746" s="3">
        <v>0.91858386999999997</v>
      </c>
      <c r="E3746" s="1">
        <v>0.61873990000000001</v>
      </c>
      <c r="F3746" s="2">
        <v>0.73548190000000002</v>
      </c>
    </row>
    <row r="3747" spans="1:6" x14ac:dyDescent="0.25">
      <c r="A3747" t="s">
        <v>11</v>
      </c>
      <c r="B3747" s="5" t="str">
        <f>HYPERLINK("http://www.broadinstitute.org/gsea/msigdb/cards/WP_G13_SIGNALING_PATHWAY.html","WP_G13_SIGNALING_PATHWAY")</f>
        <v>WP_G13_SIGNALING_PATHWAY</v>
      </c>
      <c r="C3747" s="4">
        <v>38</v>
      </c>
      <c r="D3747" s="3">
        <v>0.91810320000000001</v>
      </c>
      <c r="E3747" s="1">
        <v>0.59197325000000001</v>
      </c>
      <c r="F3747" s="2">
        <v>0.7364385</v>
      </c>
    </row>
    <row r="3748" spans="1:6" x14ac:dyDescent="0.25">
      <c r="A3748" t="s">
        <v>6</v>
      </c>
      <c r="B3748" s="5" t="str">
        <f>HYPERLINK("http://www.broadinstitute.org/gsea/msigdb/cards/GOBP_LIPID_DROPLET_ORGANIZATION.html","GOBP_LIPID_DROPLET_ORGANIZATION")</f>
        <v>GOBP_LIPID_DROPLET_ORGANIZATION</v>
      </c>
      <c r="C3748" s="4">
        <v>37</v>
      </c>
      <c r="D3748" s="3">
        <v>0.91733986000000001</v>
      </c>
      <c r="E3748" s="1">
        <v>0.59866220000000003</v>
      </c>
      <c r="F3748" s="2">
        <v>0.73806936000000001</v>
      </c>
    </row>
    <row r="3749" spans="1:6" x14ac:dyDescent="0.25">
      <c r="A3749" t="s">
        <v>6</v>
      </c>
      <c r="B3749" s="5" t="str">
        <f>HYPERLINK("http://www.broadinstitute.org/gsea/msigdb/cards/GOBP_PRESYNAPSE_ORGANIZATION.html","GOBP_PRESYNAPSE_ORGANIZATION")</f>
        <v>GOBP_PRESYNAPSE_ORGANIZATION</v>
      </c>
      <c r="C3749" s="4">
        <v>62</v>
      </c>
      <c r="D3749" s="3">
        <v>0.91678320000000002</v>
      </c>
      <c r="E3749" s="1">
        <v>0.58974360000000003</v>
      </c>
      <c r="F3749" s="2">
        <v>0.73917940000000004</v>
      </c>
    </row>
    <row r="3750" spans="1:6" x14ac:dyDescent="0.25">
      <c r="A3750" t="s">
        <v>8</v>
      </c>
      <c r="B3750" s="5" t="str">
        <f>HYPERLINK("http://www.broadinstitute.org/gsea/msigdb/cards/GOMF_MONOCARBOXYLIC_ACID_BINDING.html","GOMF_MONOCARBOXYLIC_ACID_BINDING")</f>
        <v>GOMF_MONOCARBOXYLIC_ACID_BINDING</v>
      </c>
      <c r="C3750" s="4">
        <v>84</v>
      </c>
      <c r="D3750" s="3">
        <v>0.91625299999999998</v>
      </c>
      <c r="E3750" s="1">
        <v>0.60808706000000001</v>
      </c>
      <c r="F3750" s="2">
        <v>0.74027299999999996</v>
      </c>
    </row>
    <row r="3751" spans="1:6" x14ac:dyDescent="0.25">
      <c r="A3751" t="s">
        <v>6</v>
      </c>
      <c r="B3751" s="5" t="str">
        <f>HYPERLINK("http://www.broadinstitute.org/gsea/msigdb/cards/GOBP_SYNAPTIC_VESICLE_RECYCLING.html","GOBP_SYNAPTIC_VESICLE_RECYCLING")</f>
        <v>GOBP_SYNAPTIC_VESICLE_RECYCLING</v>
      </c>
      <c r="C3751" s="4">
        <v>89</v>
      </c>
      <c r="D3751" s="3">
        <v>0.91621070000000004</v>
      </c>
      <c r="E3751" s="1">
        <v>0.62323390000000001</v>
      </c>
      <c r="F3751" s="2">
        <v>0.74017900000000003</v>
      </c>
    </row>
    <row r="3752" spans="1:6" x14ac:dyDescent="0.25">
      <c r="A3752" t="s">
        <v>6</v>
      </c>
      <c r="B3752" s="5" t="str">
        <f>HYPERLINK("http://www.broadinstitute.org/gsea/msigdb/cards/GOBP_CARDIAC_SEPTUM_MORPHOGENESIS.html","GOBP_CARDIAC_SEPTUM_MORPHOGENESIS")</f>
        <v>GOBP_CARDIAC_SEPTUM_MORPHOGENESIS</v>
      </c>
      <c r="C3752" s="4">
        <v>77</v>
      </c>
      <c r="D3752" s="3">
        <v>0.91523014999999996</v>
      </c>
      <c r="E3752" s="1">
        <v>0.61648179999999997</v>
      </c>
      <c r="F3752" s="2">
        <v>0.74225134000000004</v>
      </c>
    </row>
    <row r="3753" spans="1:6" x14ac:dyDescent="0.25">
      <c r="A3753" t="s">
        <v>6</v>
      </c>
      <c r="B3753" s="5" t="str">
        <f>HYPERLINK("http://www.broadinstitute.org/gsea/msigdb/cards/GOBP_RENAL_VESICLE_DEVELOPMENT.html","GOBP_RENAL_VESICLE_DEVELOPMENT")</f>
        <v>GOBP_RENAL_VESICLE_DEVELOPMENT</v>
      </c>
      <c r="C3753" s="4">
        <v>19</v>
      </c>
      <c r="D3753" s="3">
        <v>0.91516399999999998</v>
      </c>
      <c r="E3753" s="1">
        <v>0.58855100000000005</v>
      </c>
      <c r="F3753" s="2">
        <v>0.74222319999999997</v>
      </c>
    </row>
    <row r="3754" spans="1:6" x14ac:dyDescent="0.25">
      <c r="A3754" t="s">
        <v>11</v>
      </c>
      <c r="B3754" s="5" t="str">
        <f>HYPERLINK("http://www.broadinstitute.org/gsea/msigdb/cards/WP_FOLIC_ACID_NETWORK.html","WP_FOLIC_ACID_NETWORK")</f>
        <v>WP_FOLIC_ACID_NETWORK</v>
      </c>
      <c r="C3754" s="4">
        <v>22</v>
      </c>
      <c r="D3754" s="3">
        <v>0.91495000000000004</v>
      </c>
      <c r="E3754" s="1">
        <v>0.59221659999999998</v>
      </c>
      <c r="F3754" s="2">
        <v>0.74252309999999999</v>
      </c>
    </row>
    <row r="3755" spans="1:6" x14ac:dyDescent="0.25">
      <c r="A3755" t="s">
        <v>6</v>
      </c>
      <c r="B3755" s="5" t="str">
        <f>HYPERLINK("http://www.broadinstitute.org/gsea/msigdb/cards/GOBP_NEGATIVE_REGULATION_OF_PROTEIN_CATABOLIC_PROCESS.html","GOBP_NEGATIVE_REGULATION_OF_PROTEIN_CATABOLIC_PROCESS")</f>
        <v>GOBP_NEGATIVE_REGULATION_OF_PROTEIN_CATABOLIC_PROCESS</v>
      </c>
      <c r="C3755" s="4">
        <v>112</v>
      </c>
      <c r="D3755" s="3">
        <v>0.91422736999999998</v>
      </c>
      <c r="E3755" s="1">
        <v>0.64176829999999996</v>
      </c>
      <c r="F3755" s="2">
        <v>0.74402330000000005</v>
      </c>
    </row>
    <row r="3756" spans="1:6" x14ac:dyDescent="0.25">
      <c r="A3756" t="s">
        <v>6</v>
      </c>
      <c r="B3756" s="5" t="str">
        <f>HYPERLINK("http://www.broadinstitute.org/gsea/msigdb/cards/GOBP_POSITIVE_REGULATION_OF_HORMONE_METABOLIC_PROCESS.html","GOBP_POSITIVE_REGULATION_OF_HORMONE_METABOLIC_PROCESS")</f>
        <v>GOBP_POSITIVE_REGULATION_OF_HORMONE_METABOLIC_PROCESS</v>
      </c>
      <c r="C3756" s="4">
        <v>25</v>
      </c>
      <c r="D3756" s="3">
        <v>0.91397755999999997</v>
      </c>
      <c r="E3756" s="1">
        <v>0.58695649999999999</v>
      </c>
      <c r="F3756" s="2">
        <v>0.74440795000000004</v>
      </c>
    </row>
    <row r="3757" spans="1:6" x14ac:dyDescent="0.25">
      <c r="A3757" t="s">
        <v>6</v>
      </c>
      <c r="B3757" s="5" t="str">
        <f>HYPERLINK("http://www.broadinstitute.org/gsea/msigdb/cards/GOBP_POSITIVE_REGULATION_OF_MEMBRANE_DEPOLARIZATION.html","GOBP_POSITIVE_REGULATION_OF_MEMBRANE_DEPOLARIZATION")</f>
        <v>GOBP_POSITIVE_REGULATION_OF_MEMBRANE_DEPOLARIZATION</v>
      </c>
      <c r="C3757" s="4">
        <v>16</v>
      </c>
      <c r="D3757" s="3">
        <v>0.91386389999999995</v>
      </c>
      <c r="E3757" s="1">
        <v>0.58143323999999996</v>
      </c>
      <c r="F3757" s="2">
        <v>0.74448610000000004</v>
      </c>
    </row>
    <row r="3758" spans="1:6" x14ac:dyDescent="0.25">
      <c r="A3758" t="s">
        <v>6</v>
      </c>
      <c r="B3758" s="5" t="str">
        <f>HYPERLINK("http://www.broadinstitute.org/gsea/msigdb/cards/GOBP_LATERAL_MESODERM_DEVELOPMENT.html","GOBP_LATERAL_MESODERM_DEVELOPMENT")</f>
        <v>GOBP_LATERAL_MESODERM_DEVELOPMENT</v>
      </c>
      <c r="C3758" s="4">
        <v>17</v>
      </c>
      <c r="D3758" s="3">
        <v>0.91365200000000002</v>
      </c>
      <c r="E3758" s="1">
        <v>0.58695649999999999</v>
      </c>
      <c r="F3758" s="2">
        <v>0.74479169999999995</v>
      </c>
    </row>
    <row r="3759" spans="1:6" x14ac:dyDescent="0.25">
      <c r="A3759" t="s">
        <v>6</v>
      </c>
      <c r="B3759" s="5" t="str">
        <f>HYPERLINK("http://www.broadinstitute.org/gsea/msigdb/cards/GOBP_POSITIVE_REGULATION_OF_CHROMOSOME_SEPARATION.html","GOBP_POSITIVE_REGULATION_OF_CHROMOSOME_SEPARATION")</f>
        <v>GOBP_POSITIVE_REGULATION_OF_CHROMOSOME_SEPARATION</v>
      </c>
      <c r="C3759" s="4">
        <v>30</v>
      </c>
      <c r="D3759" s="3">
        <v>0.91356769999999998</v>
      </c>
      <c r="E3759" s="1">
        <v>0.56734010000000001</v>
      </c>
      <c r="F3759" s="2">
        <v>0.74479600000000001</v>
      </c>
    </row>
    <row r="3760" spans="1:6" x14ac:dyDescent="0.25">
      <c r="A3760" t="s">
        <v>6</v>
      </c>
      <c r="B3760" s="5" t="str">
        <f>HYPERLINK("http://www.broadinstitute.org/gsea/msigdb/cards/GOBP_UNSATURATED_FATTY_ACID_METABOLIC_PROCESS.html","GOBP_UNSATURATED_FATTY_ACID_METABOLIC_PROCESS")</f>
        <v>GOBP_UNSATURATED_FATTY_ACID_METABOLIC_PROCESS</v>
      </c>
      <c r="C3760" s="4">
        <v>116</v>
      </c>
      <c r="D3760" s="3">
        <v>0.91350967000000005</v>
      </c>
      <c r="E3760" s="1">
        <v>0.65578634000000002</v>
      </c>
      <c r="F3760" s="2">
        <v>0.7447319</v>
      </c>
    </row>
    <row r="3761" spans="1:6" x14ac:dyDescent="0.25">
      <c r="A3761" t="s">
        <v>8</v>
      </c>
      <c r="B3761" s="5" t="str">
        <f>HYPERLINK("http://www.broadinstitute.org/gsea/msigdb/cards/GOMF_DEATH_RECEPTOR_BINDING.html","GOMF_DEATH_RECEPTOR_BINDING")</f>
        <v>GOMF_DEATH_RECEPTOR_BINDING</v>
      </c>
      <c r="C3761" s="4">
        <v>20</v>
      </c>
      <c r="D3761" s="3">
        <v>0.91348415999999999</v>
      </c>
      <c r="E3761" s="1">
        <v>0.56468529999999995</v>
      </c>
      <c r="F3761" s="2">
        <v>0.74459874999999998</v>
      </c>
    </row>
    <row r="3762" spans="1:6" x14ac:dyDescent="0.25">
      <c r="A3762" t="s">
        <v>6</v>
      </c>
      <c r="B3762" s="5" t="str">
        <f>HYPERLINK("http://www.broadinstitute.org/gsea/msigdb/cards/GOBP_RESPONSE_TO_TESTOSTERONE.html","GOBP_RESPONSE_TO_TESTOSTERONE")</f>
        <v>GOBP_RESPONSE_TO_TESTOSTERONE</v>
      </c>
      <c r="C3762" s="4">
        <v>18</v>
      </c>
      <c r="D3762" s="3">
        <v>0.91342179999999995</v>
      </c>
      <c r="E3762" s="1">
        <v>0.57867133999999998</v>
      </c>
      <c r="F3762" s="2">
        <v>0.74453650000000005</v>
      </c>
    </row>
    <row r="3763" spans="1:6" x14ac:dyDescent="0.25">
      <c r="A3763" t="s">
        <v>6</v>
      </c>
      <c r="B3763" s="5" t="str">
        <f>HYPERLINK("http://www.broadinstitute.org/gsea/msigdb/cards/GOBP_REGULATION_OF_PHOSPHOLIPID_METABOLIC_PROCESS.html","GOBP_REGULATION_OF_PHOSPHOLIPID_METABOLIC_PROCESS")</f>
        <v>GOBP_REGULATION_OF_PHOSPHOLIPID_METABOLIC_PROCESS</v>
      </c>
      <c r="C3763" s="4">
        <v>39</v>
      </c>
      <c r="D3763" s="3">
        <v>0.91341435999999998</v>
      </c>
      <c r="E3763" s="1">
        <v>0.59365080000000003</v>
      </c>
      <c r="F3763" s="2">
        <v>0.74436115999999997</v>
      </c>
    </row>
    <row r="3764" spans="1:6" x14ac:dyDescent="0.25">
      <c r="A3764" t="s">
        <v>8</v>
      </c>
      <c r="B3764" s="5" t="str">
        <f>HYPERLINK("http://www.broadinstitute.org/gsea/msigdb/cards/GOMF_LIPID_PHOSPHATASE_ACTIVITY.html","GOMF_LIPID_PHOSPHATASE_ACTIVITY")</f>
        <v>GOMF_LIPID_PHOSPHATASE_ACTIVITY</v>
      </c>
      <c r="C3764" s="4">
        <v>17</v>
      </c>
      <c r="D3764" s="3">
        <v>0.91320926000000002</v>
      </c>
      <c r="E3764" s="1">
        <v>0.56620210000000004</v>
      </c>
      <c r="F3764" s="2">
        <v>0.74466529999999997</v>
      </c>
    </row>
    <row r="3765" spans="1:6" x14ac:dyDescent="0.25">
      <c r="A3765" t="s">
        <v>10</v>
      </c>
      <c r="B3765" s="5" t="str">
        <f>HYPERLINK("http://www.broadinstitute.org/gsea/msigdb/cards/REACTOME_TRIGLYCERIDE_METABOLISM.html","REACTOME_TRIGLYCERIDE_METABOLISM")</f>
        <v>REACTOME_TRIGLYCERIDE_METABOLISM</v>
      </c>
      <c r="C3765" s="4">
        <v>24</v>
      </c>
      <c r="D3765" s="3">
        <v>0.91307163000000002</v>
      </c>
      <c r="E3765" s="1">
        <v>0.59701490000000002</v>
      </c>
      <c r="F3765" s="2">
        <v>0.74480279999999999</v>
      </c>
    </row>
    <row r="3766" spans="1:6" x14ac:dyDescent="0.25">
      <c r="A3766" t="s">
        <v>6</v>
      </c>
      <c r="B3766" s="5" t="str">
        <f>HYPERLINK("http://www.broadinstitute.org/gsea/msigdb/cards/GOBP_METANEPHRIC_NEPHRON_EPITHELIUM_DEVELOPMENT.html","GOBP_METANEPHRIC_NEPHRON_EPITHELIUM_DEVELOPMENT")</f>
        <v>GOBP_METANEPHRIC_NEPHRON_EPITHELIUM_DEVELOPMENT</v>
      </c>
      <c r="C3766" s="4">
        <v>19</v>
      </c>
      <c r="D3766" s="3">
        <v>0.91304750000000001</v>
      </c>
      <c r="E3766" s="1">
        <v>0.57020545</v>
      </c>
      <c r="F3766" s="2">
        <v>0.74466246000000003</v>
      </c>
    </row>
    <row r="3767" spans="1:6" x14ac:dyDescent="0.25">
      <c r="A3767" t="s">
        <v>6</v>
      </c>
      <c r="B3767" s="5" t="str">
        <f>HYPERLINK("http://www.broadinstitute.org/gsea/msigdb/cards/GOBP_POSITIVE_REGULATION_OF_SMOOTH_MUSCLE_CELL_DIFFERENTIATION.html","GOBP_POSITIVE_REGULATION_OF_SMOOTH_MUSCLE_CELL_DIFFERENTIATION")</f>
        <v>GOBP_POSITIVE_REGULATION_OF_SMOOTH_MUSCLE_CELL_DIFFERENTIATION</v>
      </c>
      <c r="C3767" s="4">
        <v>15</v>
      </c>
      <c r="D3767" s="3">
        <v>0.91289779999999998</v>
      </c>
      <c r="E3767" s="1">
        <v>0.59699000000000002</v>
      </c>
      <c r="F3767" s="2">
        <v>0.74482079999999995</v>
      </c>
    </row>
    <row r="3768" spans="1:6" x14ac:dyDescent="0.25">
      <c r="A3768" t="s">
        <v>6</v>
      </c>
      <c r="B3768" s="5" t="str">
        <f>HYPERLINK("http://www.broadinstitute.org/gsea/msigdb/cards/GOBP_RNA_DECAPPING.html","GOBP_RNA_DECAPPING")</f>
        <v>GOBP_RNA_DECAPPING</v>
      </c>
      <c r="C3768" s="4">
        <v>19</v>
      </c>
      <c r="D3768" s="3">
        <v>0.91275567000000002</v>
      </c>
      <c r="E3768" s="1">
        <v>0.58417509999999995</v>
      </c>
      <c r="F3768" s="2">
        <v>0.74497413999999995</v>
      </c>
    </row>
    <row r="3769" spans="1:6" x14ac:dyDescent="0.25">
      <c r="A3769" t="s">
        <v>6</v>
      </c>
      <c r="B3769" s="5" t="str">
        <f>HYPERLINK("http://www.broadinstitute.org/gsea/msigdb/cards/GOBP_SNARE_COMPLEX_ASSEMBLY.html","GOBP_SNARE_COMPLEX_ASSEMBLY")</f>
        <v>GOBP_SNARE_COMPLEX_ASSEMBLY</v>
      </c>
      <c r="C3769" s="4">
        <v>17</v>
      </c>
      <c r="D3769" s="3">
        <v>0.91262799999999999</v>
      </c>
      <c r="E3769" s="1">
        <v>0.57602865000000003</v>
      </c>
      <c r="F3769" s="2">
        <v>0.7450774</v>
      </c>
    </row>
    <row r="3770" spans="1:6" x14ac:dyDescent="0.25">
      <c r="A3770" t="s">
        <v>8</v>
      </c>
      <c r="B3770" s="5" t="str">
        <f>HYPERLINK("http://www.broadinstitute.org/gsea/msigdb/cards/GOMF_HEPARAN_SULFATE_SULFOTRANSFERASE_ACTIVITY.html","GOMF_HEPARAN_SULFATE_SULFOTRANSFERASE_ACTIVITY")</f>
        <v>GOMF_HEPARAN_SULFATE_SULFOTRANSFERASE_ACTIVITY</v>
      </c>
      <c r="C3770" s="4">
        <v>15</v>
      </c>
      <c r="D3770" s="3">
        <v>0.9124871</v>
      </c>
      <c r="E3770" s="1">
        <v>0.57068059999999998</v>
      </c>
      <c r="F3770" s="2">
        <v>0.74521490000000001</v>
      </c>
    </row>
    <row r="3771" spans="1:6" x14ac:dyDescent="0.25">
      <c r="A3771" t="s">
        <v>6</v>
      </c>
      <c r="B3771" s="5" t="str">
        <f>HYPERLINK("http://www.broadinstitute.org/gsea/msigdb/cards/GOBP_MULTIVESICULAR_BODY_SORTING_PATHWAY.html","GOBP_MULTIVESICULAR_BODY_SORTING_PATHWAY")</f>
        <v>GOBP_MULTIVESICULAR_BODY_SORTING_PATHWAY</v>
      </c>
      <c r="C3771" s="4">
        <v>35</v>
      </c>
      <c r="D3771" s="3">
        <v>0.91244069999999999</v>
      </c>
      <c r="E3771" s="1">
        <v>0.60096930000000004</v>
      </c>
      <c r="F3771" s="2">
        <v>0.74512590000000001</v>
      </c>
    </row>
    <row r="3772" spans="1:6" x14ac:dyDescent="0.25">
      <c r="A3772" t="s">
        <v>6</v>
      </c>
      <c r="B3772" s="5" t="str">
        <f>HYPERLINK("http://www.broadinstitute.org/gsea/msigdb/cards/GOBP_EXOCYTIC_PROCESS.html","GOBP_EXOCYTIC_PROCESS")</f>
        <v>GOBP_EXOCYTIC_PROCESS</v>
      </c>
      <c r="C3772" s="4">
        <v>100</v>
      </c>
      <c r="D3772" s="3">
        <v>0.91161579999999998</v>
      </c>
      <c r="E3772" s="1">
        <v>0.66012084000000004</v>
      </c>
      <c r="F3772" s="2">
        <v>0.74687236999999995</v>
      </c>
    </row>
    <row r="3773" spans="1:6" x14ac:dyDescent="0.25">
      <c r="A3773" t="s">
        <v>6</v>
      </c>
      <c r="B3773" s="5" t="str">
        <f>HYPERLINK("http://www.broadinstitute.org/gsea/msigdb/cards/GOBP_PHOSPHATIDYLINOSITOL_PHOSPHATE_BIOSYNTHETIC_PROCESS.html","GOBP_PHOSPHATIDYLINOSITOL_PHOSPHATE_BIOSYNTHETIC_PROCESS")</f>
        <v>GOBP_PHOSPHATIDYLINOSITOL_PHOSPHATE_BIOSYNTHETIC_PROCESS</v>
      </c>
      <c r="C3773" s="4">
        <v>54</v>
      </c>
      <c r="D3773" s="3">
        <v>0.91095879999999996</v>
      </c>
      <c r="E3773" s="1">
        <v>0.59455126999999997</v>
      </c>
      <c r="F3773" s="2">
        <v>0.74822739999999999</v>
      </c>
    </row>
    <row r="3774" spans="1:6" x14ac:dyDescent="0.25">
      <c r="A3774" t="s">
        <v>6</v>
      </c>
      <c r="B3774" s="5" t="str">
        <f>HYPERLINK("http://www.broadinstitute.org/gsea/msigdb/cards/GOBP_ACTION_POTENTIAL.html","GOBP_ACTION_POTENTIAL")</f>
        <v>GOBP_ACTION_POTENTIAL</v>
      </c>
      <c r="C3774" s="4">
        <v>154</v>
      </c>
      <c r="D3774" s="3">
        <v>0.91079790000000005</v>
      </c>
      <c r="E3774" s="1">
        <v>0.68970589999999998</v>
      </c>
      <c r="F3774" s="2">
        <v>0.74840260000000003</v>
      </c>
    </row>
    <row r="3775" spans="1:6" x14ac:dyDescent="0.25">
      <c r="A3775" t="s">
        <v>8</v>
      </c>
      <c r="B3775" s="5" t="str">
        <f>HYPERLINK("http://www.broadinstitute.org/gsea/msigdb/cards/GOMF_WNT_RECEPTOR_ACTIVITY.html","GOMF_WNT_RECEPTOR_ACTIVITY")</f>
        <v>GOMF_WNT_RECEPTOR_ACTIVITY</v>
      </c>
      <c r="C3775" s="4">
        <v>17</v>
      </c>
      <c r="D3775" s="3">
        <v>0.91022027000000005</v>
      </c>
      <c r="E3775" s="1">
        <v>0.59618720000000003</v>
      </c>
      <c r="F3775" s="2">
        <v>0.7495849</v>
      </c>
    </row>
    <row r="3776" spans="1:6" x14ac:dyDescent="0.25">
      <c r="A3776" t="s">
        <v>6</v>
      </c>
      <c r="B3776" s="5" t="str">
        <f>HYPERLINK("http://www.broadinstitute.org/gsea/msigdb/cards/GOBP_REGULATION_OF_RETINOIC_ACID_RECEPTOR_SIGNALING_PATHWAY.html","GOBP_REGULATION_OF_RETINOIC_ACID_RECEPTOR_SIGNALING_PATHWAY")</f>
        <v>GOBP_REGULATION_OF_RETINOIC_ACID_RECEPTOR_SIGNALING_PATHWAY</v>
      </c>
      <c r="C3776" s="4">
        <v>18</v>
      </c>
      <c r="D3776" s="3">
        <v>0.90966075999999996</v>
      </c>
      <c r="E3776" s="1">
        <v>0.59083194000000006</v>
      </c>
      <c r="F3776" s="2">
        <v>0.75069960000000002</v>
      </c>
    </row>
    <row r="3777" spans="1:6" x14ac:dyDescent="0.25">
      <c r="A3777" t="s">
        <v>6</v>
      </c>
      <c r="B3777" s="5" t="str">
        <f>HYPERLINK("http://www.broadinstitute.org/gsea/msigdb/cards/GOBP_FIBROBLAST_ACTIVATION.html","GOBP_FIBROBLAST_ACTIVATION")</f>
        <v>GOBP_FIBROBLAST_ACTIVATION</v>
      </c>
      <c r="C3777" s="4">
        <v>21</v>
      </c>
      <c r="D3777" s="3">
        <v>0.90945560000000003</v>
      </c>
      <c r="E3777" s="1">
        <v>0.58956520000000001</v>
      </c>
      <c r="F3777" s="2">
        <v>0.75099473999999999</v>
      </c>
    </row>
    <row r="3778" spans="1:6" x14ac:dyDescent="0.25">
      <c r="A3778" t="s">
        <v>6</v>
      </c>
      <c r="B3778" s="5" t="str">
        <f>HYPERLINK("http://www.broadinstitute.org/gsea/msigdb/cards/GOBP_PROTEIN_ACTIVATION_CASCADE.html","GOBP_PROTEIN_ACTIVATION_CASCADE")</f>
        <v>GOBP_PROTEIN_ACTIVATION_CASCADE</v>
      </c>
      <c r="C3778" s="4">
        <v>19</v>
      </c>
      <c r="D3778" s="3">
        <v>0.90899759999999996</v>
      </c>
      <c r="E3778" s="1">
        <v>0.57117439999999997</v>
      </c>
      <c r="F3778" s="2">
        <v>0.7518783</v>
      </c>
    </row>
    <row r="3779" spans="1:6" x14ac:dyDescent="0.25">
      <c r="A3779" t="s">
        <v>7</v>
      </c>
      <c r="B3779" s="5" t="str">
        <f>HYPERLINK("http://www.broadinstitute.org/gsea/msigdb/cards/GOCC_INTRACILIARY_TRANSPORT_PARTICLE_B.html","GOCC_INTRACILIARY_TRANSPORT_PARTICLE_B")</f>
        <v>GOCC_INTRACILIARY_TRANSPORT_PARTICLE_B</v>
      </c>
      <c r="C3779" s="4">
        <v>21</v>
      </c>
      <c r="D3779" s="3">
        <v>0.90892249999999997</v>
      </c>
      <c r="E3779" s="1">
        <v>0.59008265000000004</v>
      </c>
      <c r="F3779" s="2">
        <v>0.75187534</v>
      </c>
    </row>
    <row r="3780" spans="1:6" x14ac:dyDescent="0.25">
      <c r="A3780" t="s">
        <v>6</v>
      </c>
      <c r="B3780" s="5" t="str">
        <f>HYPERLINK("http://www.broadinstitute.org/gsea/msigdb/cards/GOBP_REGULATION_OF_SPINDLE_ASSEMBLY.html","GOBP_REGULATION_OF_SPINDLE_ASSEMBLY")</f>
        <v>GOBP_REGULATION_OF_SPINDLE_ASSEMBLY</v>
      </c>
      <c r="C3780" s="4">
        <v>30</v>
      </c>
      <c r="D3780" s="3">
        <v>0.90891093000000001</v>
      </c>
      <c r="E3780" s="1">
        <v>0.61194029999999999</v>
      </c>
      <c r="F3780" s="2">
        <v>0.75169825999999995</v>
      </c>
    </row>
    <row r="3781" spans="1:6" x14ac:dyDescent="0.25">
      <c r="A3781" t="s">
        <v>6</v>
      </c>
      <c r="B3781" s="5" t="str">
        <f>HYPERLINK("http://www.broadinstitute.org/gsea/msigdb/cards/GOBP_NEGATIVE_REGULATION_OF_STRIATED_MUSCLE_CELL_APOPTOTIC_PROCESS.html","GOBP_NEGATIVE_REGULATION_OF_STRIATED_MUSCLE_CELL_APOPTOTIC_PROCESS")</f>
        <v>GOBP_NEGATIVE_REGULATION_OF_STRIATED_MUSCLE_CELL_APOPTOTIC_PROCESS</v>
      </c>
      <c r="C3781" s="4">
        <v>39</v>
      </c>
      <c r="D3781" s="3">
        <v>0.90860940000000001</v>
      </c>
      <c r="E3781" s="1">
        <v>0.60631230000000003</v>
      </c>
      <c r="F3781" s="2">
        <v>0.75220626999999995</v>
      </c>
    </row>
    <row r="3782" spans="1:6" x14ac:dyDescent="0.25">
      <c r="A3782" t="s">
        <v>6</v>
      </c>
      <c r="B3782" s="5" t="str">
        <f>HYPERLINK("http://www.broadinstitute.org/gsea/msigdb/cards/GOBP_VITAMIN_TRANSPORT.html","GOBP_VITAMIN_TRANSPORT")</f>
        <v>GOBP_VITAMIN_TRANSPORT</v>
      </c>
      <c r="C3782" s="4">
        <v>46</v>
      </c>
      <c r="D3782" s="3">
        <v>0.90859604000000005</v>
      </c>
      <c r="E3782" s="1">
        <v>0.62616824999999998</v>
      </c>
      <c r="F3782" s="2">
        <v>0.75203889999999995</v>
      </c>
    </row>
    <row r="3783" spans="1:6" x14ac:dyDescent="0.25">
      <c r="A3783" t="s">
        <v>8</v>
      </c>
      <c r="B3783" s="5" t="str">
        <f>HYPERLINK("http://www.broadinstitute.org/gsea/msigdb/cards/GOMF_MYOSIN_PHOSPHATASE_ACTIVITY.html","GOMF_MYOSIN_PHOSPHATASE_ACTIVITY")</f>
        <v>GOMF_MYOSIN_PHOSPHATASE_ACTIVITY</v>
      </c>
      <c r="C3783" s="4">
        <v>68</v>
      </c>
      <c r="D3783" s="3">
        <v>0.90819835999999998</v>
      </c>
      <c r="E3783" s="1">
        <v>0.64339906000000002</v>
      </c>
      <c r="F3783" s="2">
        <v>0.75273120000000004</v>
      </c>
    </row>
    <row r="3784" spans="1:6" x14ac:dyDescent="0.25">
      <c r="A3784" t="s">
        <v>6</v>
      </c>
      <c r="B3784" s="5" t="str">
        <f>HYPERLINK("http://www.broadinstitute.org/gsea/msigdb/cards/GOBP_REGULATION_OF_SMOOTHENED_SIGNALING_PATHWAY.html","GOBP_REGULATION_OF_SMOOTHENED_SIGNALING_PATHWAY")</f>
        <v>GOBP_REGULATION_OF_SMOOTHENED_SIGNALING_PATHWAY</v>
      </c>
      <c r="C3784" s="4">
        <v>99</v>
      </c>
      <c r="D3784" s="3">
        <v>0.90773015999999995</v>
      </c>
      <c r="E3784" s="1">
        <v>0.66965620000000003</v>
      </c>
      <c r="F3784" s="2">
        <v>0.75363904000000004</v>
      </c>
    </row>
    <row r="3785" spans="1:6" x14ac:dyDescent="0.25">
      <c r="A3785" t="s">
        <v>6</v>
      </c>
      <c r="B3785" s="5" t="str">
        <f>HYPERLINK("http://www.broadinstitute.org/gsea/msigdb/cards/GOBP_ALANINE_TRANSPORT.html","GOBP_ALANINE_TRANSPORT")</f>
        <v>GOBP_ALANINE_TRANSPORT</v>
      </c>
      <c r="C3785" s="4">
        <v>17</v>
      </c>
      <c r="D3785" s="3">
        <v>0.90760492999999998</v>
      </c>
      <c r="E3785" s="1">
        <v>0.58550184999999999</v>
      </c>
      <c r="F3785" s="2">
        <v>0.75373860000000004</v>
      </c>
    </row>
    <row r="3786" spans="1:6" x14ac:dyDescent="0.25">
      <c r="A3786" t="s">
        <v>6</v>
      </c>
      <c r="B3786" s="5" t="str">
        <f>HYPERLINK("http://www.broadinstitute.org/gsea/msigdb/cards/GOBP_MRNA_POLYADENYLATION.html","GOBP_MRNA_POLYADENYLATION")</f>
        <v>GOBP_MRNA_POLYADENYLATION</v>
      </c>
      <c r="C3786" s="4">
        <v>21</v>
      </c>
      <c r="D3786" s="3">
        <v>0.90694772999999995</v>
      </c>
      <c r="E3786" s="1">
        <v>0.58203800000000006</v>
      </c>
      <c r="F3786" s="2">
        <v>0.75507150000000001</v>
      </c>
    </row>
    <row r="3787" spans="1:6" x14ac:dyDescent="0.25">
      <c r="A3787" t="s">
        <v>7</v>
      </c>
      <c r="B3787" s="5" t="str">
        <f>HYPERLINK("http://www.broadinstitute.org/gsea/msigdb/cards/GOCC_PML_BODY.html","GOCC_PML_BODY")</f>
        <v>GOCC_PML_BODY</v>
      </c>
      <c r="C3787" s="4">
        <v>81</v>
      </c>
      <c r="D3787" s="3">
        <v>0.90683939999999996</v>
      </c>
      <c r="E3787" s="1">
        <v>0.64423079999999999</v>
      </c>
      <c r="F3787" s="2">
        <v>0.75512749999999995</v>
      </c>
    </row>
    <row r="3788" spans="1:6" x14ac:dyDescent="0.25">
      <c r="A3788" t="s">
        <v>6</v>
      </c>
      <c r="B3788" s="5" t="str">
        <f>HYPERLINK("http://www.broadinstitute.org/gsea/msigdb/cards/GOBP_POSITIVE_REGULATION_OF_G_PROTEIN_COUPLED_RECEPTOR_SIGNALING_PATHWAY.html","GOBP_POSITIVE_REGULATION_OF_G_PROTEIN_COUPLED_RECEPTOR_SIGNALING_PATHWAY")</f>
        <v>GOBP_POSITIVE_REGULATION_OF_G_PROTEIN_COUPLED_RECEPTOR_SIGNALING_PATHWAY</v>
      </c>
      <c r="C3788" s="4">
        <v>32</v>
      </c>
      <c r="D3788" s="3">
        <v>0.90683530000000001</v>
      </c>
      <c r="E3788" s="1">
        <v>0.59114140000000004</v>
      </c>
      <c r="F3788" s="2">
        <v>0.75493692999999995</v>
      </c>
    </row>
    <row r="3789" spans="1:6" x14ac:dyDescent="0.25">
      <c r="A3789" t="s">
        <v>10</v>
      </c>
      <c r="B3789" s="5" t="str">
        <f>HYPERLINK("http://www.broadinstitute.org/gsea/msigdb/cards/REACTOME_PHASE_I_FUNCTIONALIZATION_OF_COMPOUNDS.html","REACTOME_PHASE_I_FUNCTIONALIZATION_OF_COMPOUNDS")</f>
        <v>REACTOME_PHASE_I_FUNCTIONALIZATION_OF_COMPOUNDS</v>
      </c>
      <c r="C3789" s="4">
        <v>97</v>
      </c>
      <c r="D3789" s="3">
        <v>0.90659356000000002</v>
      </c>
      <c r="E3789" s="1">
        <v>0.64133739999999995</v>
      </c>
      <c r="F3789" s="2">
        <v>0.75529109999999999</v>
      </c>
    </row>
    <row r="3790" spans="1:6" x14ac:dyDescent="0.25">
      <c r="A3790" t="s">
        <v>10</v>
      </c>
      <c r="B3790" s="5" t="str">
        <f>HYPERLINK("http://www.broadinstitute.org/gsea/msigdb/cards/REACTOME_PHOSPHOLIPASE_C_MEDIATED_CASCADE_FGFR2.html","REACTOME_PHOSPHOLIPASE_C_MEDIATED_CASCADE_FGFR2")</f>
        <v>REACTOME_PHOSPHOLIPASE_C_MEDIATED_CASCADE_FGFR2</v>
      </c>
      <c r="C3790" s="4">
        <v>17</v>
      </c>
      <c r="D3790" s="3">
        <v>0.90539099999999995</v>
      </c>
      <c r="E3790" s="1">
        <v>0.59642859999999998</v>
      </c>
      <c r="F3790" s="2">
        <v>0.75787084999999998</v>
      </c>
    </row>
    <row r="3791" spans="1:6" x14ac:dyDescent="0.25">
      <c r="A3791" t="s">
        <v>10</v>
      </c>
      <c r="B3791" s="5" t="str">
        <f>HYPERLINK("http://www.broadinstitute.org/gsea/msigdb/cards/REACTOME_BUTYRATE_RESPONSE_FACTOR_1_BRF1_BINDS_AND_DESTABILIZES_MRNA.html","REACTOME_BUTYRATE_RESPONSE_FACTOR_1_BRF1_BINDS_AND_DESTABILIZES_MRNA")</f>
        <v>REACTOME_BUTYRATE_RESPONSE_FACTOR_1_BRF1_BINDS_AND_DESTABILIZES_MRNA</v>
      </c>
      <c r="C3791" s="4">
        <v>16</v>
      </c>
      <c r="D3791" s="3">
        <v>0.90536629999999996</v>
      </c>
      <c r="E3791" s="1">
        <v>0.59890109999999996</v>
      </c>
      <c r="F3791" s="2">
        <v>0.75772892999999997</v>
      </c>
    </row>
    <row r="3792" spans="1:6" x14ac:dyDescent="0.25">
      <c r="A3792" t="s">
        <v>6</v>
      </c>
      <c r="B3792" s="5" t="str">
        <f>HYPERLINK("http://www.broadinstitute.org/gsea/msigdb/cards/GOBP_AUDITORY_RECEPTOR_CELL_MORPHOGENESIS.html","GOBP_AUDITORY_RECEPTOR_CELL_MORPHOGENESIS")</f>
        <v>GOBP_AUDITORY_RECEPTOR_CELL_MORPHOGENESIS</v>
      </c>
      <c r="C3792" s="4">
        <v>27</v>
      </c>
      <c r="D3792" s="3">
        <v>0.90535840000000001</v>
      </c>
      <c r="E3792" s="1">
        <v>0.59008265000000004</v>
      </c>
      <c r="F3792" s="2">
        <v>0.75755035999999998</v>
      </c>
    </row>
    <row r="3793" spans="1:6" x14ac:dyDescent="0.25">
      <c r="A3793" t="s">
        <v>6</v>
      </c>
      <c r="B3793" s="5" t="str">
        <f>HYPERLINK("http://www.broadinstitute.org/gsea/msigdb/cards/GOBP_HYDROGEN_PEROXIDE_CATABOLIC_PROCESS.html","GOBP_HYDROGEN_PEROXIDE_CATABOLIC_PROCESS")</f>
        <v>GOBP_HYDROGEN_PEROXIDE_CATABOLIC_PROCESS</v>
      </c>
      <c r="C3793" s="4">
        <v>22</v>
      </c>
      <c r="D3793" s="3">
        <v>0.90462726000000004</v>
      </c>
      <c r="E3793" s="1">
        <v>0.58934706000000003</v>
      </c>
      <c r="F3793" s="2">
        <v>0.75906799999999996</v>
      </c>
    </row>
    <row r="3794" spans="1:6" x14ac:dyDescent="0.25">
      <c r="A3794" t="s">
        <v>10</v>
      </c>
      <c r="B3794" s="5" t="str">
        <f>HYPERLINK("http://www.broadinstitute.org/gsea/msigdb/cards/REACTOME_ACYL_CHAIN_REMODELLING_OF_PI.html","REACTOME_ACYL_CHAIN_REMODELLING_OF_PI")</f>
        <v>REACTOME_ACYL_CHAIN_REMODELLING_OF_PI</v>
      </c>
      <c r="C3794" s="4">
        <v>15</v>
      </c>
      <c r="D3794" s="3">
        <v>0.90448779999999995</v>
      </c>
      <c r="E3794" s="1">
        <v>0.60034907000000004</v>
      </c>
      <c r="F3794" s="2">
        <v>0.75919409999999998</v>
      </c>
    </row>
    <row r="3795" spans="1:6" x14ac:dyDescent="0.25">
      <c r="A3795" t="s">
        <v>6</v>
      </c>
      <c r="B3795" s="5" t="str">
        <f>HYPERLINK("http://www.broadinstitute.org/gsea/msigdb/cards/GOBP_ACTIVATION_OF_PROTEIN_KINASE_B_ACTIVITY.html","GOBP_ACTIVATION_OF_PROTEIN_KINASE_B_ACTIVITY")</f>
        <v>GOBP_ACTIVATION_OF_PROTEIN_KINASE_B_ACTIVITY</v>
      </c>
      <c r="C3795" s="4">
        <v>26</v>
      </c>
      <c r="D3795" s="3">
        <v>0.90434026999999995</v>
      </c>
      <c r="E3795" s="1">
        <v>0.61512029999999995</v>
      </c>
      <c r="F3795" s="2">
        <v>0.75934243000000001</v>
      </c>
    </row>
    <row r="3796" spans="1:6" x14ac:dyDescent="0.25">
      <c r="A3796" t="s">
        <v>6</v>
      </c>
      <c r="B3796" s="5" t="str">
        <f>HYPERLINK("http://www.broadinstitute.org/gsea/msigdb/cards/GOBP_SENSORY_SYSTEM_DEVELOPMENT.html","GOBP_SENSORY_SYSTEM_DEVELOPMENT")</f>
        <v>GOBP_SENSORY_SYSTEM_DEVELOPMENT</v>
      </c>
      <c r="C3796" s="4">
        <v>411</v>
      </c>
      <c r="D3796" s="3">
        <v>0.90416799999999997</v>
      </c>
      <c r="E3796" s="1">
        <v>0.7888889</v>
      </c>
      <c r="F3796" s="2">
        <v>0.75955130000000004</v>
      </c>
    </row>
    <row r="3797" spans="1:6" x14ac:dyDescent="0.25">
      <c r="A3797" t="s">
        <v>6</v>
      </c>
      <c r="B3797" s="5" t="str">
        <f>HYPERLINK("http://www.broadinstitute.org/gsea/msigdb/cards/GOBP_TUBULIN_DEACETYLATION.html","GOBP_TUBULIN_DEACETYLATION")</f>
        <v>GOBP_TUBULIN_DEACETYLATION</v>
      </c>
      <c r="C3797" s="4">
        <v>23</v>
      </c>
      <c r="D3797" s="3">
        <v>0.9035957</v>
      </c>
      <c r="E3797" s="1">
        <v>0.62157536000000002</v>
      </c>
      <c r="F3797" s="2">
        <v>0.76069160000000002</v>
      </c>
    </row>
    <row r="3798" spans="1:6" x14ac:dyDescent="0.25">
      <c r="A3798" t="s">
        <v>6</v>
      </c>
      <c r="B3798" s="5" t="str">
        <f>HYPERLINK("http://www.broadinstitute.org/gsea/msigdb/cards/GOBP_REGULATION_OF_PROTEIN_STABILITY.html","GOBP_REGULATION_OF_PROTEIN_STABILITY")</f>
        <v>GOBP_REGULATION_OF_PROTEIN_STABILITY</v>
      </c>
      <c r="C3798" s="4">
        <v>307</v>
      </c>
      <c r="D3798" s="3">
        <v>0.90340900000000002</v>
      </c>
      <c r="E3798" s="1">
        <v>0.74300929999999998</v>
      </c>
      <c r="F3798" s="2">
        <v>0.76094145000000002</v>
      </c>
    </row>
    <row r="3799" spans="1:6" x14ac:dyDescent="0.25">
      <c r="A3799" t="s">
        <v>6</v>
      </c>
      <c r="B3799" s="5" t="str">
        <f>HYPERLINK("http://www.broadinstitute.org/gsea/msigdb/cards/GOBP_REGULATION_OF_PROTEOLYSIS_INVOLVED_IN_PROTEIN_CATABOLIC_PROCESS.html","GOBP_REGULATION_OF_PROTEOLYSIS_INVOLVED_IN_PROTEIN_CATABOLIC_PROCESS")</f>
        <v>GOBP_REGULATION_OF_PROTEOLYSIS_INVOLVED_IN_PROTEIN_CATABOLIC_PROCESS</v>
      </c>
      <c r="C3799" s="4">
        <v>226</v>
      </c>
      <c r="D3799" s="3">
        <v>0.90297985000000003</v>
      </c>
      <c r="E3799" s="1">
        <v>0.72469634000000005</v>
      </c>
      <c r="F3799" s="2">
        <v>0.7617699</v>
      </c>
    </row>
    <row r="3800" spans="1:6" x14ac:dyDescent="0.25">
      <c r="A3800" t="s">
        <v>6</v>
      </c>
      <c r="B3800" s="5" t="str">
        <f>HYPERLINK("http://www.broadinstitute.org/gsea/msigdb/cards/GOBP_CARDIOBLAST_DIFFERENTIATION.html","GOBP_CARDIOBLAST_DIFFERENTIATION")</f>
        <v>GOBP_CARDIOBLAST_DIFFERENTIATION</v>
      </c>
      <c r="C3800" s="4">
        <v>16</v>
      </c>
      <c r="D3800" s="3">
        <v>0.90296100000000001</v>
      </c>
      <c r="E3800" s="1">
        <v>0.60670190000000002</v>
      </c>
      <c r="F3800" s="2">
        <v>0.76161109999999999</v>
      </c>
    </row>
    <row r="3801" spans="1:6" x14ac:dyDescent="0.25">
      <c r="A3801" t="s">
        <v>10</v>
      </c>
      <c r="B3801" s="5" t="str">
        <f>HYPERLINK("http://www.broadinstitute.org/gsea/msigdb/cards/REACTOME_RA_BIOSYNTHESIS_PATHWAY.html","REACTOME_RA_BIOSYNTHESIS_PATHWAY")</f>
        <v>REACTOME_RA_BIOSYNTHESIS_PATHWAY</v>
      </c>
      <c r="C3801" s="4">
        <v>21</v>
      </c>
      <c r="D3801" s="3">
        <v>0.90290033999999997</v>
      </c>
      <c r="E3801" s="1">
        <v>0.62218370000000001</v>
      </c>
      <c r="F3801" s="2">
        <v>0.76155349999999999</v>
      </c>
    </row>
    <row r="3802" spans="1:6" x14ac:dyDescent="0.25">
      <c r="A3802" t="s">
        <v>6</v>
      </c>
      <c r="B3802" s="5" t="str">
        <f>HYPERLINK("http://www.broadinstitute.org/gsea/msigdb/cards/GOBP_ENDOSOME_TO_LYSOSOME_TRANSPORT_VIA_MULTIVESICULAR_BODY_SORTING_PATHWAY.html","GOBP_ENDOSOME_TO_LYSOSOME_TRANSPORT_VIA_MULTIVESICULAR_BODY_SORTING_PATHWAY")</f>
        <v>GOBP_ENDOSOME_TO_LYSOSOME_TRANSPORT_VIA_MULTIVESICULAR_BODY_SORTING_PATHWAY</v>
      </c>
      <c r="C3802" s="4">
        <v>17</v>
      </c>
      <c r="D3802" s="3">
        <v>0.90251415999999995</v>
      </c>
      <c r="E3802" s="1">
        <v>0.57807310000000001</v>
      </c>
      <c r="F3802" s="2">
        <v>0.7622466</v>
      </c>
    </row>
    <row r="3803" spans="1:6" x14ac:dyDescent="0.25">
      <c r="A3803" t="s">
        <v>6</v>
      </c>
      <c r="B3803" s="5" t="str">
        <f>HYPERLINK("http://www.broadinstitute.org/gsea/msigdb/cards/GOBP_PROTEIN_QUALITY_CONTROL_FOR_MISFOLDED_OR_INCOMPLETELY_SYNTHESIZED_PROTEINS.html","GOBP_PROTEIN_QUALITY_CONTROL_FOR_MISFOLDED_OR_INCOMPLETELY_SYNTHESIZED_PROTEINS")</f>
        <v>GOBP_PROTEIN_QUALITY_CONTROL_FOR_MISFOLDED_OR_INCOMPLETELY_SYNTHESIZED_PROTEINS</v>
      </c>
      <c r="C3803" s="4">
        <v>29</v>
      </c>
      <c r="D3803" s="3">
        <v>0.90245335999999998</v>
      </c>
      <c r="E3803" s="1">
        <v>0.60338985999999994</v>
      </c>
      <c r="F3803" s="2">
        <v>0.76219320000000002</v>
      </c>
    </row>
    <row r="3804" spans="1:6" x14ac:dyDescent="0.25">
      <c r="A3804" t="s">
        <v>6</v>
      </c>
      <c r="B3804" s="5" t="str">
        <f>HYPERLINK("http://www.broadinstitute.org/gsea/msigdb/cards/GOBP_CELLULAR_RESPONSE_TO_UV.html","GOBP_CELLULAR_RESPONSE_TO_UV")</f>
        <v>GOBP_CELLULAR_RESPONSE_TO_UV</v>
      </c>
      <c r="C3804" s="4">
        <v>93</v>
      </c>
      <c r="D3804" s="3">
        <v>0.90204096</v>
      </c>
      <c r="E3804" s="1">
        <v>0.67737000000000003</v>
      </c>
      <c r="F3804" s="2">
        <v>0.76292694000000005</v>
      </c>
    </row>
    <row r="3805" spans="1:6" x14ac:dyDescent="0.25">
      <c r="A3805" t="s">
        <v>6</v>
      </c>
      <c r="B3805" s="5" t="str">
        <f>HYPERLINK("http://www.broadinstitute.org/gsea/msigdb/cards/GOBP_MODULATION_BY_HOST_OF_VIRAL_GENOME_REPLICATION.html","GOBP_MODULATION_BY_HOST_OF_VIRAL_GENOME_REPLICATION")</f>
        <v>GOBP_MODULATION_BY_HOST_OF_VIRAL_GENOME_REPLICATION</v>
      </c>
      <c r="C3805" s="4">
        <v>23</v>
      </c>
      <c r="D3805" s="3">
        <v>0.90195170000000002</v>
      </c>
      <c r="E3805" s="1">
        <v>0.60913706000000001</v>
      </c>
      <c r="F3805" s="2">
        <v>0.76292914000000001</v>
      </c>
    </row>
    <row r="3806" spans="1:6" x14ac:dyDescent="0.25">
      <c r="A3806" t="s">
        <v>6</v>
      </c>
      <c r="B3806" s="5" t="str">
        <f>HYPERLINK("http://www.broadinstitute.org/gsea/msigdb/cards/GOBP_NEGATIVE_REGULATION_OF_B_CELL_APOPTOTIC_PROCESS.html","GOBP_NEGATIVE_REGULATION_OF_B_CELL_APOPTOTIC_PROCESS")</f>
        <v>GOBP_NEGATIVE_REGULATION_OF_B_CELL_APOPTOTIC_PROCESS</v>
      </c>
      <c r="C3806" s="4">
        <v>16</v>
      </c>
      <c r="D3806" s="3">
        <v>0.90194149999999995</v>
      </c>
      <c r="E3806" s="1">
        <v>0.63074209999999997</v>
      </c>
      <c r="F3806" s="2">
        <v>0.76275300000000001</v>
      </c>
    </row>
    <row r="3807" spans="1:6" x14ac:dyDescent="0.25">
      <c r="A3807" t="s">
        <v>6</v>
      </c>
      <c r="B3807" s="5" t="str">
        <f>HYPERLINK("http://www.broadinstitute.org/gsea/msigdb/cards/GOBP_RESPONSE_TO_RADIATION.html","GOBP_RESPONSE_TO_RADIATION")</f>
        <v>GOBP_RESPONSE_TO_RADIATION</v>
      </c>
      <c r="C3807" s="4">
        <v>426</v>
      </c>
      <c r="D3807" s="3">
        <v>0.90178906999999997</v>
      </c>
      <c r="E3807" s="1">
        <v>0.77106916999999997</v>
      </c>
      <c r="F3807" s="2">
        <v>0.76290170000000002</v>
      </c>
    </row>
    <row r="3808" spans="1:6" x14ac:dyDescent="0.25">
      <c r="A3808" t="s">
        <v>6</v>
      </c>
      <c r="B3808" s="5" t="str">
        <f>HYPERLINK("http://www.broadinstitute.org/gsea/msigdb/cards/GOBP_CELL_COMMUNICATION_BY_ELECTRICAL_COUPLING.html","GOBP_CELL_COMMUNICATION_BY_ELECTRICAL_COUPLING")</f>
        <v>GOBP_CELL_COMMUNICATION_BY_ELECTRICAL_COUPLING</v>
      </c>
      <c r="C3808" s="4">
        <v>19</v>
      </c>
      <c r="D3808" s="3">
        <v>0.90166473000000003</v>
      </c>
      <c r="E3808" s="1">
        <v>0.59621995999999999</v>
      </c>
      <c r="F3808" s="2">
        <v>0.76298993999999998</v>
      </c>
    </row>
    <row r="3809" spans="1:6" x14ac:dyDescent="0.25">
      <c r="A3809" t="s">
        <v>6</v>
      </c>
      <c r="B3809" s="5" t="str">
        <f>HYPERLINK("http://www.broadinstitute.org/gsea/msigdb/cards/GOBP_PROTEIN_K48_LINKED_UBIQUITINATION.html","GOBP_PROTEIN_K48_LINKED_UBIQUITINATION")</f>
        <v>GOBP_PROTEIN_K48_LINKED_UBIQUITINATION</v>
      </c>
      <c r="C3809" s="4">
        <v>65</v>
      </c>
      <c r="D3809" s="3">
        <v>0.90150640000000004</v>
      </c>
      <c r="E3809" s="1">
        <v>0.63223784999999999</v>
      </c>
      <c r="F3809" s="2">
        <v>0.76317250000000003</v>
      </c>
    </row>
    <row r="3810" spans="1:6" x14ac:dyDescent="0.25">
      <c r="A3810" t="s">
        <v>6</v>
      </c>
      <c r="B3810" s="5" t="str">
        <f>HYPERLINK("http://www.broadinstitute.org/gsea/msigdb/cards/GOBP_REGULATION_OF_MUSCLE_ORGAN_DEVELOPMENT.html","GOBP_REGULATION_OF_MUSCLE_ORGAN_DEVELOPMENT")</f>
        <v>GOBP_REGULATION_OF_MUSCLE_ORGAN_DEVELOPMENT</v>
      </c>
      <c r="C3810" s="4">
        <v>29</v>
      </c>
      <c r="D3810" s="3">
        <v>0.90065689999999998</v>
      </c>
      <c r="E3810" s="1">
        <v>0.62051283999999995</v>
      </c>
      <c r="F3810" s="2">
        <v>0.76494340000000005</v>
      </c>
    </row>
    <row r="3811" spans="1:6" x14ac:dyDescent="0.25">
      <c r="A3811" t="s">
        <v>6</v>
      </c>
      <c r="B3811" s="5" t="str">
        <f>HYPERLINK("http://www.broadinstitute.org/gsea/msigdb/cards/GOBP_STEROL_HOMEOSTASIS.html","GOBP_STEROL_HOMEOSTASIS")</f>
        <v>GOBP_STEROL_HOMEOSTASIS</v>
      </c>
      <c r="C3811" s="4">
        <v>100</v>
      </c>
      <c r="D3811" s="3">
        <v>0.9004162</v>
      </c>
      <c r="E3811" s="1">
        <v>0.68476623000000003</v>
      </c>
      <c r="F3811" s="2">
        <v>0.76531296999999998</v>
      </c>
    </row>
    <row r="3812" spans="1:6" x14ac:dyDescent="0.25">
      <c r="A3812" t="s">
        <v>6</v>
      </c>
      <c r="B3812" s="5" t="str">
        <f>HYPERLINK("http://www.broadinstitute.org/gsea/msigdb/cards/GOBP_REGULATION_OF_MITOTIC_SPINDLE_ASSEMBLY.html","GOBP_REGULATION_OF_MITOTIC_SPINDLE_ASSEMBLY")</f>
        <v>GOBP_REGULATION_OF_MITOTIC_SPINDLE_ASSEMBLY</v>
      </c>
      <c r="C3812" s="4">
        <v>20</v>
      </c>
      <c r="D3812" s="3">
        <v>0.89997994999999997</v>
      </c>
      <c r="E3812" s="1">
        <v>0.60034600000000005</v>
      </c>
      <c r="F3812" s="2">
        <v>0.76610624999999999</v>
      </c>
    </row>
    <row r="3813" spans="1:6" x14ac:dyDescent="0.25">
      <c r="A3813" t="s">
        <v>10</v>
      </c>
      <c r="B3813" s="5" t="str">
        <f>HYPERLINK("http://www.broadinstitute.org/gsea/msigdb/cards/REACTOME_NUCLEAR_PORE_COMPLEX_NPC_DISASSEMBLY.html","REACTOME_NUCLEAR_PORE_COMPLEX_NPC_DISASSEMBLY")</f>
        <v>REACTOME_NUCLEAR_PORE_COMPLEX_NPC_DISASSEMBLY</v>
      </c>
      <c r="C3813" s="4">
        <v>32</v>
      </c>
      <c r="D3813" s="3">
        <v>0.89920186999999996</v>
      </c>
      <c r="E3813" s="1">
        <v>0.64006792999999995</v>
      </c>
      <c r="F3813" s="2">
        <v>0.767737</v>
      </c>
    </row>
    <row r="3814" spans="1:6" x14ac:dyDescent="0.25">
      <c r="A3814" t="s">
        <v>6</v>
      </c>
      <c r="B3814" s="5" t="str">
        <f>HYPERLINK("http://www.broadinstitute.org/gsea/msigdb/cards/GOBP_NEUROTRANSMITTER_RECEPTOR_TRANSPORT_TO_PLASMA_MEMBRANE.html","GOBP_NEUROTRANSMITTER_RECEPTOR_TRANSPORT_TO_PLASMA_MEMBRANE")</f>
        <v>GOBP_NEUROTRANSMITTER_RECEPTOR_TRANSPORT_TO_PLASMA_MEMBRANE</v>
      </c>
      <c r="C3814" s="4">
        <v>24</v>
      </c>
      <c r="D3814" s="3">
        <v>0.89904890000000004</v>
      </c>
      <c r="E3814" s="1">
        <v>0.61201300000000003</v>
      </c>
      <c r="F3814" s="2">
        <v>0.76790040000000004</v>
      </c>
    </row>
    <row r="3815" spans="1:6" x14ac:dyDescent="0.25">
      <c r="A3815" t="s">
        <v>8</v>
      </c>
      <c r="B3815" s="5" t="str">
        <f>HYPERLINK("http://www.broadinstitute.org/gsea/msigdb/cards/GOMF_THREONINE_TYPE_PEPTIDASE_ACTIVITY.html","GOMF_THREONINE_TYPE_PEPTIDASE_ACTIVITY")</f>
        <v>GOMF_THREONINE_TYPE_PEPTIDASE_ACTIVITY</v>
      </c>
      <c r="C3815" s="4">
        <v>15</v>
      </c>
      <c r="D3815" s="3">
        <v>0.89888805000000005</v>
      </c>
      <c r="E3815" s="1">
        <v>0.60558460000000003</v>
      </c>
      <c r="F3815" s="2">
        <v>0.76806490000000005</v>
      </c>
    </row>
    <row r="3816" spans="1:6" x14ac:dyDescent="0.25">
      <c r="A3816" t="s">
        <v>6</v>
      </c>
      <c r="B3816" s="5" t="str">
        <f>HYPERLINK("http://www.broadinstitute.org/gsea/msigdb/cards/GOBP_HYALURONAN_METABOLIC_PROCESS.html","GOBP_HYALURONAN_METABOLIC_PROCESS")</f>
        <v>GOBP_HYALURONAN_METABOLIC_PROCESS</v>
      </c>
      <c r="C3816" s="4">
        <v>38</v>
      </c>
      <c r="D3816" s="3">
        <v>0.89884584999999995</v>
      </c>
      <c r="E3816" s="1">
        <v>0.62722849999999997</v>
      </c>
      <c r="F3816" s="2">
        <v>0.76796556000000005</v>
      </c>
    </row>
    <row r="3817" spans="1:6" x14ac:dyDescent="0.25">
      <c r="A3817" t="s">
        <v>10</v>
      </c>
      <c r="B3817" s="5" t="str">
        <f>HYPERLINK("http://www.broadinstitute.org/gsea/msigdb/cards/REACTOME_OXIDATIVE_STRESS_INDUCED_SENESCENCE.html","REACTOME_OXIDATIVE_STRESS_INDUCED_SENESCENCE")</f>
        <v>REACTOME_OXIDATIVE_STRESS_INDUCED_SENESCENCE</v>
      </c>
      <c r="C3817" s="4">
        <v>37</v>
      </c>
      <c r="D3817" s="3">
        <v>0.89858530000000003</v>
      </c>
      <c r="E3817" s="1">
        <v>0.62767709999999999</v>
      </c>
      <c r="F3817" s="2">
        <v>0.76835949999999997</v>
      </c>
    </row>
    <row r="3818" spans="1:6" x14ac:dyDescent="0.25">
      <c r="A3818" t="s">
        <v>8</v>
      </c>
      <c r="B3818" s="5" t="str">
        <f>HYPERLINK("http://www.broadinstitute.org/gsea/msigdb/cards/GOMF_NITRIC_OXIDE_SYNTHASE_BINDING.html","GOMF_NITRIC_OXIDE_SYNTHASE_BINDING")</f>
        <v>GOMF_NITRIC_OXIDE_SYNTHASE_BINDING</v>
      </c>
      <c r="C3818" s="4">
        <v>22</v>
      </c>
      <c r="D3818" s="3">
        <v>0.89855814000000001</v>
      </c>
      <c r="E3818" s="1">
        <v>0.61005200000000004</v>
      </c>
      <c r="F3818" s="2">
        <v>0.76821859999999997</v>
      </c>
    </row>
    <row r="3819" spans="1:6" x14ac:dyDescent="0.25">
      <c r="A3819" t="s">
        <v>10</v>
      </c>
      <c r="B3819" s="5" t="str">
        <f>HYPERLINK("http://www.broadinstitute.org/gsea/msigdb/cards/REACTOME_ACTIVATION_OF_BH3_ONLY_PROTEINS.html","REACTOME_ACTIVATION_OF_BH3_ONLY_PROTEINS")</f>
        <v>REACTOME_ACTIVATION_OF_BH3_ONLY_PROTEINS</v>
      </c>
      <c r="C3819" s="4">
        <v>18</v>
      </c>
      <c r="D3819" s="3">
        <v>0.89823586</v>
      </c>
      <c r="E3819" s="1">
        <v>0.59861593999999996</v>
      </c>
      <c r="F3819" s="2">
        <v>0.76877810000000002</v>
      </c>
    </row>
    <row r="3820" spans="1:6" x14ac:dyDescent="0.25">
      <c r="A3820" t="s">
        <v>6</v>
      </c>
      <c r="B3820" s="5" t="str">
        <f>HYPERLINK("http://www.broadinstitute.org/gsea/msigdb/cards/GOBP_CELLULAR_RESPONSE_TO_SALT.html","GOBP_CELLULAR_RESPONSE_TO_SALT")</f>
        <v>GOBP_CELLULAR_RESPONSE_TO_SALT</v>
      </c>
      <c r="C3820" s="4">
        <v>198</v>
      </c>
      <c r="D3820" s="3">
        <v>0.89817409999999998</v>
      </c>
      <c r="E3820" s="1">
        <v>0.7112676</v>
      </c>
      <c r="F3820" s="2">
        <v>0.76871204000000004</v>
      </c>
    </row>
    <row r="3821" spans="1:6" x14ac:dyDescent="0.25">
      <c r="A3821" t="s">
        <v>6</v>
      </c>
      <c r="B3821" s="5" t="str">
        <f>HYPERLINK("http://www.broadinstitute.org/gsea/msigdb/cards/GOBP_NEGATIVE_REGULATION_OF_PROTEIN_SECRETION.html","GOBP_NEGATIVE_REGULATION_OF_PROTEIN_SECRETION")</f>
        <v>GOBP_NEGATIVE_REGULATION_OF_PROTEIN_SECRETION</v>
      </c>
      <c r="C3821" s="4">
        <v>87</v>
      </c>
      <c r="D3821" s="3">
        <v>0.89798449999999996</v>
      </c>
      <c r="E3821" s="1">
        <v>0.66772659999999995</v>
      </c>
      <c r="F3821" s="2">
        <v>0.76894499999999999</v>
      </c>
    </row>
    <row r="3822" spans="1:6" x14ac:dyDescent="0.25">
      <c r="A3822" t="s">
        <v>6</v>
      </c>
      <c r="B3822" s="5" t="str">
        <f>HYPERLINK("http://www.broadinstitute.org/gsea/msigdb/cards/GOBP_STEM_CELL_DIVISION.html","GOBP_STEM_CELL_DIVISION")</f>
        <v>GOBP_STEM_CELL_DIVISION</v>
      </c>
      <c r="C3822" s="4">
        <v>42</v>
      </c>
      <c r="D3822" s="3">
        <v>0.89686686000000004</v>
      </c>
      <c r="E3822" s="1">
        <v>0.63578270000000003</v>
      </c>
      <c r="F3822" s="2">
        <v>0.77133905999999997</v>
      </c>
    </row>
    <row r="3823" spans="1:6" x14ac:dyDescent="0.25">
      <c r="A3823" t="s">
        <v>6</v>
      </c>
      <c r="B3823" s="5" t="str">
        <f>HYPERLINK("http://www.broadinstitute.org/gsea/msigdb/cards/GOBP_LEARNING.html","GOBP_LEARNING")</f>
        <v>GOBP_LEARNING</v>
      </c>
      <c r="C3823" s="4">
        <v>190</v>
      </c>
      <c r="D3823" s="3">
        <v>0.89605539999999995</v>
      </c>
      <c r="E3823" s="1">
        <v>0.71595900000000001</v>
      </c>
      <c r="F3823" s="2">
        <v>0.77299910000000005</v>
      </c>
    </row>
    <row r="3824" spans="1:6" x14ac:dyDescent="0.25">
      <c r="A3824" t="s">
        <v>8</v>
      </c>
      <c r="B3824" s="5" t="str">
        <f>HYPERLINK("http://www.broadinstitute.org/gsea/msigdb/cards/GOMF_HORMONE_ACTIVITY.html","GOMF_HORMONE_ACTIVITY")</f>
        <v>GOMF_HORMONE_ACTIVITY</v>
      </c>
      <c r="C3824" s="4">
        <v>99</v>
      </c>
      <c r="D3824" s="3">
        <v>0.8959454</v>
      </c>
      <c r="E3824" s="1">
        <v>0.69687500000000002</v>
      </c>
      <c r="F3824" s="2">
        <v>0.77304720000000005</v>
      </c>
    </row>
    <row r="3825" spans="1:6" x14ac:dyDescent="0.25">
      <c r="A3825" t="s">
        <v>6</v>
      </c>
      <c r="B3825" s="5" t="str">
        <f>HYPERLINK("http://www.broadinstitute.org/gsea/msigdb/cards/GOBP_ATP_TRANSPORT.html","GOBP_ATP_TRANSPORT")</f>
        <v>GOBP_ATP_TRANSPORT</v>
      </c>
      <c r="C3825" s="4">
        <v>18</v>
      </c>
      <c r="D3825" s="3">
        <v>0.89594430000000003</v>
      </c>
      <c r="E3825" s="1">
        <v>0.60535717</v>
      </c>
      <c r="F3825" s="2">
        <v>0.7728469</v>
      </c>
    </row>
    <row r="3826" spans="1:6" x14ac:dyDescent="0.25">
      <c r="A3826" t="s">
        <v>6</v>
      </c>
      <c r="B3826" s="5" t="str">
        <f>HYPERLINK("http://www.broadinstitute.org/gsea/msigdb/cards/GOBP_CATECHOL_CONTAINING_COMPOUND_BIOSYNTHETIC_PROCESS.html","GOBP_CATECHOL_CONTAINING_COMPOUND_BIOSYNTHETIC_PROCESS")</f>
        <v>GOBP_CATECHOL_CONTAINING_COMPOUND_BIOSYNTHETIC_PROCESS</v>
      </c>
      <c r="C3826" s="4">
        <v>26</v>
      </c>
      <c r="D3826" s="3">
        <v>0.89552310000000002</v>
      </c>
      <c r="E3826" s="1">
        <v>0.61525129999999995</v>
      </c>
      <c r="F3826" s="2">
        <v>0.77358729999999998</v>
      </c>
    </row>
    <row r="3827" spans="1:6" x14ac:dyDescent="0.25">
      <c r="A3827" t="s">
        <v>7</v>
      </c>
      <c r="B3827" s="5" t="str">
        <f>HYPERLINK("http://www.broadinstitute.org/gsea/msigdb/cards/GOCC_LAMELLAR_BODY.html","GOCC_LAMELLAR_BODY")</f>
        <v>GOCC_LAMELLAR_BODY</v>
      </c>
      <c r="C3827" s="4">
        <v>16</v>
      </c>
      <c r="D3827" s="3">
        <v>0.89542379999999999</v>
      </c>
      <c r="E3827" s="1">
        <v>0.60517240000000005</v>
      </c>
      <c r="F3827" s="2">
        <v>0.77361250000000004</v>
      </c>
    </row>
    <row r="3828" spans="1:6" x14ac:dyDescent="0.25">
      <c r="A3828" t="s">
        <v>10</v>
      </c>
      <c r="B3828" s="5" t="str">
        <f>HYPERLINK("http://www.broadinstitute.org/gsea/msigdb/cards/REACTOME_FORMATION_OF_SENESCENCE_ASSOCIATED_HETEROCHROMATIN_FOCI_SAHF.html","REACTOME_FORMATION_OF_SENESCENCE_ASSOCIATED_HETEROCHROMATIN_FOCI_SAHF")</f>
        <v>REACTOME_FORMATION_OF_SENESCENCE_ASSOCIATED_HETEROCHROMATIN_FOCI_SAHF</v>
      </c>
      <c r="C3828" s="4">
        <v>16</v>
      </c>
      <c r="D3828" s="3">
        <v>0.89500444999999995</v>
      </c>
      <c r="E3828" s="1">
        <v>0.60070670000000004</v>
      </c>
      <c r="F3828" s="2">
        <v>0.77439829999999998</v>
      </c>
    </row>
    <row r="3829" spans="1:6" x14ac:dyDescent="0.25">
      <c r="A3829" t="s">
        <v>10</v>
      </c>
      <c r="B3829" s="5" t="str">
        <f>HYPERLINK("http://www.broadinstitute.org/gsea/msigdb/cards/REACTOME_BIOSYNTHESIS_OF_SPECIALIZED_PRORESOLVING_MEDIATORS_SPMS.html","REACTOME_BIOSYNTHESIS_OF_SPECIALIZED_PRORESOLVING_MEDIATORS_SPMS")</f>
        <v>REACTOME_BIOSYNTHESIS_OF_SPECIALIZED_PRORESOLVING_MEDIATORS_SPMS</v>
      </c>
      <c r="C3829" s="4">
        <v>16</v>
      </c>
      <c r="D3829" s="3">
        <v>0.8949973</v>
      </c>
      <c r="E3829" s="1">
        <v>0.62274366999999997</v>
      </c>
      <c r="F3829" s="2">
        <v>0.77420913999999996</v>
      </c>
    </row>
    <row r="3830" spans="1:6" x14ac:dyDescent="0.25">
      <c r="A3830" t="s">
        <v>6</v>
      </c>
      <c r="B3830" s="5" t="str">
        <f>HYPERLINK("http://www.broadinstitute.org/gsea/msigdb/cards/GOBP_FIBROBLAST_GROWTH_FACTOR_RECEPTOR_SIGNALING_PATHWAY.html","GOBP_FIBROBLAST_GROWTH_FACTOR_RECEPTOR_SIGNALING_PATHWAY")</f>
        <v>GOBP_FIBROBLAST_GROWTH_FACTOR_RECEPTOR_SIGNALING_PATHWAY</v>
      </c>
      <c r="C3830" s="4">
        <v>82</v>
      </c>
      <c r="D3830" s="3">
        <v>0.89491010000000004</v>
      </c>
      <c r="E3830" s="1">
        <v>0.68025075999999995</v>
      </c>
      <c r="F3830" s="2">
        <v>0.77421770000000001</v>
      </c>
    </row>
    <row r="3831" spans="1:6" x14ac:dyDescent="0.25">
      <c r="A3831" t="s">
        <v>6</v>
      </c>
      <c r="B3831" s="5" t="str">
        <f>HYPERLINK("http://www.broadinstitute.org/gsea/msigdb/cards/GOBP_NEGATIVE_REGULATION_OF_INSULIN_SECRETION_INVOLVED_IN_CELLULAR_RESPONSE_TO_GLUCOSE_STIMULUS.html","GOBP_NEGATIVE_REGULATION_OF_INSULIN_SECRETION_INVOLVED_IN_CELLULAR_RESPONSE_TO_GLUCOSE_STIMULUS")</f>
        <v>GOBP_NEGATIVE_REGULATION_OF_INSULIN_SECRETION_INVOLVED_IN_CELLULAR_RESPONSE_TO_GLUCOSE_STIMULUS</v>
      </c>
      <c r="C3831" s="4">
        <v>17</v>
      </c>
      <c r="D3831" s="3">
        <v>0.89483990000000002</v>
      </c>
      <c r="E3831" s="1">
        <v>0.61428570000000005</v>
      </c>
      <c r="F3831" s="2">
        <v>0.77417135000000004</v>
      </c>
    </row>
    <row r="3832" spans="1:6" x14ac:dyDescent="0.25">
      <c r="A3832" t="s">
        <v>11</v>
      </c>
      <c r="B3832" s="5" t="str">
        <f>HYPERLINK("http://www.broadinstitute.org/gsea/msigdb/cards/WP_PARKINSON_39_S_DISEASE.html","WP_PARKINSON_39_S_DISEASE")</f>
        <v>WP_PARKINSON_39_S_DISEASE</v>
      </c>
      <c r="C3832" s="4">
        <v>38</v>
      </c>
      <c r="D3832" s="3">
        <v>0.89461939999999995</v>
      </c>
      <c r="E3832" s="1">
        <v>0.65365850000000003</v>
      </c>
      <c r="F3832" s="2">
        <v>0.77447575000000002</v>
      </c>
    </row>
    <row r="3833" spans="1:6" x14ac:dyDescent="0.25">
      <c r="A3833" t="s">
        <v>6</v>
      </c>
      <c r="B3833" s="5" t="str">
        <f>HYPERLINK("http://www.broadinstitute.org/gsea/msigdb/cards/GOBP_EMBRYONIC_CAMERA_TYPE_EYE_DEVELOPMENT.html","GOBP_EMBRYONIC_CAMERA_TYPE_EYE_DEVELOPMENT")</f>
        <v>GOBP_EMBRYONIC_CAMERA_TYPE_EYE_DEVELOPMENT</v>
      </c>
      <c r="C3833" s="4">
        <v>42</v>
      </c>
      <c r="D3833" s="3">
        <v>0.89456694999999997</v>
      </c>
      <c r="E3833" s="1">
        <v>0.63275859999999995</v>
      </c>
      <c r="F3833" s="2">
        <v>0.77438459999999998</v>
      </c>
    </row>
    <row r="3834" spans="1:6" x14ac:dyDescent="0.25">
      <c r="A3834" t="s">
        <v>6</v>
      </c>
      <c r="B3834" s="5" t="str">
        <f>HYPERLINK("http://www.broadinstitute.org/gsea/msigdb/cards/GOBP_NEGATIVE_REGULATION_OF_STEM_CELL_DIFFERENTIATION.html","GOBP_NEGATIVE_REGULATION_OF_STEM_CELL_DIFFERENTIATION")</f>
        <v>GOBP_NEGATIVE_REGULATION_OF_STEM_CELL_DIFFERENTIATION</v>
      </c>
      <c r="C3834" s="4">
        <v>29</v>
      </c>
      <c r="D3834" s="3">
        <v>0.89408569999999998</v>
      </c>
      <c r="E3834" s="1">
        <v>0.62479340000000005</v>
      </c>
      <c r="F3834" s="2">
        <v>0.77529349999999997</v>
      </c>
    </row>
    <row r="3835" spans="1:6" x14ac:dyDescent="0.25">
      <c r="A3835" t="s">
        <v>6</v>
      </c>
      <c r="B3835" s="5" t="str">
        <f>HYPERLINK("http://www.broadinstitute.org/gsea/msigdb/cards/GOBP_MITOTIC_INTRA_S_DNA_DAMAGE_CHECKPOINT_SIGNALING.html","GOBP_MITOTIC_INTRA_S_DNA_DAMAGE_CHECKPOINT_SIGNALING")</f>
        <v>GOBP_MITOTIC_INTRA_S_DNA_DAMAGE_CHECKPOINT_SIGNALING</v>
      </c>
      <c r="C3835" s="4">
        <v>16</v>
      </c>
      <c r="D3835" s="3">
        <v>0.89359160000000004</v>
      </c>
      <c r="E3835" s="1">
        <v>0.60931900000000006</v>
      </c>
      <c r="F3835" s="2">
        <v>0.7762038</v>
      </c>
    </row>
    <row r="3836" spans="1:6" x14ac:dyDescent="0.25">
      <c r="A3836" t="s">
        <v>6</v>
      </c>
      <c r="B3836" s="5" t="str">
        <f>HYPERLINK("http://www.broadinstitute.org/gsea/msigdb/cards/GOBP_MODIFIED_AMINO_ACID_TRANSPORT.html","GOBP_MODIFIED_AMINO_ACID_TRANSPORT")</f>
        <v>GOBP_MODIFIED_AMINO_ACID_TRANSPORT</v>
      </c>
      <c r="C3836" s="4">
        <v>45</v>
      </c>
      <c r="D3836" s="3">
        <v>0.89271383999999998</v>
      </c>
      <c r="E3836" s="1">
        <v>0.63666122999999997</v>
      </c>
      <c r="F3836" s="2">
        <v>0.77798690000000004</v>
      </c>
    </row>
    <row r="3837" spans="1:6" x14ac:dyDescent="0.25">
      <c r="A3837" t="s">
        <v>6</v>
      </c>
      <c r="B3837" s="5" t="str">
        <f>HYPERLINK("http://www.broadinstitute.org/gsea/msigdb/cards/GOBP_PROTEIN_NEDDYLATION.html","GOBP_PROTEIN_NEDDYLATION")</f>
        <v>GOBP_PROTEIN_NEDDYLATION</v>
      </c>
      <c r="C3837" s="4">
        <v>20</v>
      </c>
      <c r="D3837" s="3">
        <v>0.89262450000000004</v>
      </c>
      <c r="E3837" s="1">
        <v>0.62126862999999999</v>
      </c>
      <c r="F3837" s="2">
        <v>0.77798425999999998</v>
      </c>
    </row>
    <row r="3838" spans="1:6" x14ac:dyDescent="0.25">
      <c r="A3838" t="s">
        <v>6</v>
      </c>
      <c r="B3838" s="5" t="str">
        <f>HYPERLINK("http://www.broadinstitute.org/gsea/msigdb/cards/GOBP_NUCLEOBASE_CONTAINING_COMPOUND_TRANSPORT.html","GOBP_NUCLEOBASE_CONTAINING_COMPOUND_TRANSPORT")</f>
        <v>GOBP_NUCLEOBASE_CONTAINING_COMPOUND_TRANSPORT</v>
      </c>
      <c r="C3838" s="4">
        <v>191</v>
      </c>
      <c r="D3838" s="3">
        <v>0.89193743000000003</v>
      </c>
      <c r="E3838" s="1">
        <v>0.76102420000000004</v>
      </c>
      <c r="F3838" s="2">
        <v>0.77938059999999998</v>
      </c>
    </row>
    <row r="3839" spans="1:6" x14ac:dyDescent="0.25">
      <c r="A3839" t="s">
        <v>7</v>
      </c>
      <c r="B3839" s="5" t="str">
        <f>HYPERLINK("http://www.broadinstitute.org/gsea/msigdb/cards/GOCC_CLATHRIN_COATED_VESICLE_MEMBRANE.html","GOCC_CLATHRIN_COATED_VESICLE_MEMBRANE")</f>
        <v>GOCC_CLATHRIN_COATED_VESICLE_MEMBRANE</v>
      </c>
      <c r="C3839" s="4">
        <v>52</v>
      </c>
      <c r="D3839" s="3">
        <v>0.89184934000000005</v>
      </c>
      <c r="E3839" s="1">
        <v>0.65378153000000006</v>
      </c>
      <c r="F3839" s="2">
        <v>0.77935547000000005</v>
      </c>
    </row>
    <row r="3840" spans="1:6" x14ac:dyDescent="0.25">
      <c r="A3840" t="s">
        <v>6</v>
      </c>
      <c r="B3840" s="5" t="str">
        <f>HYPERLINK("http://www.broadinstitute.org/gsea/msigdb/cards/GOBP_POSITIVE_REGULATION_OF_TRANSCRIPTION_BY_RNA_POLYMERASE_III.html","GOBP_POSITIVE_REGULATION_OF_TRANSCRIPTION_BY_RNA_POLYMERASE_III")</f>
        <v>GOBP_POSITIVE_REGULATION_OF_TRANSCRIPTION_BY_RNA_POLYMERASE_III</v>
      </c>
      <c r="C3840" s="4">
        <v>18</v>
      </c>
      <c r="D3840" s="3">
        <v>0.89133452999999996</v>
      </c>
      <c r="E3840" s="1">
        <v>0.60658579999999995</v>
      </c>
      <c r="F3840" s="2">
        <v>0.78034490000000001</v>
      </c>
    </row>
    <row r="3841" spans="1:6" x14ac:dyDescent="0.25">
      <c r="A3841" t="s">
        <v>6</v>
      </c>
      <c r="B3841" s="5" t="str">
        <f>HYPERLINK("http://www.broadinstitute.org/gsea/msigdb/cards/GOBP_NEGATIVE_REGULATION_OF_POTASSIUM_ION_TRANSMEMBRANE_TRANSPORT.html","GOBP_NEGATIVE_REGULATION_OF_POTASSIUM_ION_TRANSMEMBRANE_TRANSPORT")</f>
        <v>GOBP_NEGATIVE_REGULATION_OF_POTASSIUM_ION_TRANSMEMBRANE_TRANSPORT</v>
      </c>
      <c r="C3841" s="4">
        <v>28</v>
      </c>
      <c r="D3841" s="3">
        <v>0.89069145999999999</v>
      </c>
      <c r="E3841" s="1">
        <v>0.6348123</v>
      </c>
      <c r="F3841" s="2">
        <v>0.78162699999999996</v>
      </c>
    </row>
    <row r="3842" spans="1:6" x14ac:dyDescent="0.25">
      <c r="A3842" t="s">
        <v>6</v>
      </c>
      <c r="B3842" s="5" t="str">
        <f>HYPERLINK("http://www.broadinstitute.org/gsea/msigdb/cards/GOBP_OLFACTORY_BULB_INTERNEURON_DIFFERENTIATION.html","GOBP_OLFACTORY_BULB_INTERNEURON_DIFFERENTIATION")</f>
        <v>GOBP_OLFACTORY_BULB_INTERNEURON_DIFFERENTIATION</v>
      </c>
      <c r="C3842" s="4">
        <v>15</v>
      </c>
      <c r="D3842" s="3">
        <v>0.89050649999999998</v>
      </c>
      <c r="E3842" s="1">
        <v>0.63387979999999999</v>
      </c>
      <c r="F3842" s="2">
        <v>0.78183939999999996</v>
      </c>
    </row>
    <row r="3843" spans="1:6" x14ac:dyDescent="0.25">
      <c r="A3843" t="s">
        <v>6</v>
      </c>
      <c r="B3843" s="5" t="str">
        <f>HYPERLINK("http://www.broadinstitute.org/gsea/msigdb/cards/GOBP_REGULATION_OF_CARDIAC_MUSCLE_CELL_CONTRACTION.html","GOBP_REGULATION_OF_CARDIAC_MUSCLE_CELL_CONTRACTION")</f>
        <v>GOBP_REGULATION_OF_CARDIAC_MUSCLE_CELL_CONTRACTION</v>
      </c>
      <c r="C3843" s="4">
        <v>40</v>
      </c>
      <c r="D3843" s="3">
        <v>0.89042889999999997</v>
      </c>
      <c r="E3843" s="1">
        <v>0.63311689999999998</v>
      </c>
      <c r="F3843" s="2">
        <v>0.78180265000000004</v>
      </c>
    </row>
    <row r="3844" spans="1:6" x14ac:dyDescent="0.25">
      <c r="A3844" t="s">
        <v>10</v>
      </c>
      <c r="B3844" s="5" t="str">
        <f>HYPERLINK("http://www.broadinstitute.org/gsea/msigdb/cards/REACTOME_SIGNALING_BY_RETINOIC_ACID.html","REACTOME_SIGNALING_BY_RETINOIC_ACID")</f>
        <v>REACTOME_SIGNALING_BY_RETINOIC_ACID</v>
      </c>
      <c r="C3844" s="4">
        <v>41</v>
      </c>
      <c r="D3844" s="3">
        <v>0.89037155999999995</v>
      </c>
      <c r="E3844" s="1">
        <v>0.64715719999999999</v>
      </c>
      <c r="F3844" s="2">
        <v>0.78172280000000005</v>
      </c>
    </row>
    <row r="3845" spans="1:6" x14ac:dyDescent="0.25">
      <c r="A3845" t="s">
        <v>7</v>
      </c>
      <c r="B3845" s="5" t="str">
        <f>HYPERLINK("http://www.broadinstitute.org/gsea/msigdb/cards/GOCC_PRESYNAPTIC_ENDOCYTIC_ZONE.html","GOCC_PRESYNAPTIC_ENDOCYTIC_ZONE")</f>
        <v>GOCC_PRESYNAPTIC_ENDOCYTIC_ZONE</v>
      </c>
      <c r="C3845" s="4">
        <v>18</v>
      </c>
      <c r="D3845" s="3">
        <v>0.89015279999999997</v>
      </c>
      <c r="E3845" s="1">
        <v>0.60034304999999999</v>
      </c>
      <c r="F3845" s="2">
        <v>0.78199110000000005</v>
      </c>
    </row>
    <row r="3846" spans="1:6" x14ac:dyDescent="0.25">
      <c r="A3846" t="s">
        <v>10</v>
      </c>
      <c r="B3846" s="5" t="str">
        <f>HYPERLINK("http://www.broadinstitute.org/gsea/msigdb/cards/REACTOME_DOWNSTREAM_SIGNALING_OF_ACTIVATED_FGFR1.html","REACTOME_DOWNSTREAM_SIGNALING_OF_ACTIVATED_FGFR1")</f>
        <v>REACTOME_DOWNSTREAM_SIGNALING_OF_ACTIVATED_FGFR1</v>
      </c>
      <c r="C3846" s="4">
        <v>30</v>
      </c>
      <c r="D3846" s="3">
        <v>0.88921225000000004</v>
      </c>
      <c r="E3846" s="1">
        <v>0.64415157000000001</v>
      </c>
      <c r="F3846" s="2">
        <v>0.78397729999999999</v>
      </c>
    </row>
    <row r="3847" spans="1:6" x14ac:dyDescent="0.25">
      <c r="A3847" t="s">
        <v>5</v>
      </c>
      <c r="B3847" s="5" t="str">
        <f>HYPERLINK("http://www.broadinstitute.org/gsea/msigdb/cards/BIOCARTA_PAR1_PATHWAY.html","BIOCARTA_PAR1_PATHWAY")</f>
        <v>BIOCARTA_PAR1_PATHWAY</v>
      </c>
      <c r="C3847" s="4">
        <v>19</v>
      </c>
      <c r="D3847" s="3">
        <v>0.88910805999999998</v>
      </c>
      <c r="E3847" s="1">
        <v>0.61020034999999995</v>
      </c>
      <c r="F3847" s="2">
        <v>0.78400150000000002</v>
      </c>
    </row>
    <row r="3848" spans="1:6" x14ac:dyDescent="0.25">
      <c r="A3848" t="s">
        <v>8</v>
      </c>
      <c r="B3848" s="5" t="str">
        <f>HYPERLINK("http://www.broadinstitute.org/gsea/msigdb/cards/GOMF_STEROL_TRANSFER_ACTIVITY.html","GOMF_STEROL_TRANSFER_ACTIVITY")</f>
        <v>GOMF_STEROL_TRANSFER_ACTIVITY</v>
      </c>
      <c r="C3848" s="4">
        <v>22</v>
      </c>
      <c r="D3848" s="3">
        <v>0.88883909999999999</v>
      </c>
      <c r="E3848" s="1">
        <v>0.62456745000000002</v>
      </c>
      <c r="F3848" s="2">
        <v>0.78445129999999996</v>
      </c>
    </row>
    <row r="3849" spans="1:6" x14ac:dyDescent="0.25">
      <c r="A3849" t="s">
        <v>6</v>
      </c>
      <c r="B3849" s="5" t="str">
        <f>HYPERLINK("http://www.broadinstitute.org/gsea/msigdb/cards/GOBP_SENSORY_ORGAN_MORPHOGENESIS.html","GOBP_SENSORY_ORGAN_MORPHOGENESIS")</f>
        <v>GOBP_SENSORY_ORGAN_MORPHOGENESIS</v>
      </c>
      <c r="C3849" s="4">
        <v>310</v>
      </c>
      <c r="D3849" s="3">
        <v>0.88850594000000005</v>
      </c>
      <c r="E3849" s="1">
        <v>0.79524439999999996</v>
      </c>
      <c r="F3849" s="2">
        <v>0.78499300000000005</v>
      </c>
    </row>
    <row r="3850" spans="1:6" x14ac:dyDescent="0.25">
      <c r="A3850" t="s">
        <v>8</v>
      </c>
      <c r="B3850" s="5" t="str">
        <f>HYPERLINK("http://www.broadinstitute.org/gsea/msigdb/cards/GOMF_CELL_CELL_ADHESION_MEDIATOR_ACTIVITY.html","GOMF_CELL_CELL_ADHESION_MEDIATOR_ACTIVITY")</f>
        <v>GOMF_CELL_CELL_ADHESION_MEDIATOR_ACTIVITY</v>
      </c>
      <c r="C3850" s="4">
        <v>33</v>
      </c>
      <c r="D3850" s="3">
        <v>0.88816315000000001</v>
      </c>
      <c r="E3850" s="1">
        <v>0.64310955999999997</v>
      </c>
      <c r="F3850" s="2">
        <v>0.78556234000000003</v>
      </c>
    </row>
    <row r="3851" spans="1:6" x14ac:dyDescent="0.25">
      <c r="A3851" t="s">
        <v>7</v>
      </c>
      <c r="B3851" s="5" t="str">
        <f>HYPERLINK("http://www.broadinstitute.org/gsea/msigdb/cards/GOCC_CORNIFIED_ENVELOPE.html","GOCC_CORNIFIED_ENVELOPE")</f>
        <v>GOCC_CORNIFIED_ENVELOPE</v>
      </c>
      <c r="C3851" s="4">
        <v>62</v>
      </c>
      <c r="D3851" s="3">
        <v>0.88760329999999998</v>
      </c>
      <c r="E3851" s="1">
        <v>0.66556835000000003</v>
      </c>
      <c r="F3851" s="2">
        <v>0.78667134000000005</v>
      </c>
    </row>
    <row r="3852" spans="1:6" x14ac:dyDescent="0.25">
      <c r="A3852" t="s">
        <v>10</v>
      </c>
      <c r="B3852" s="5" t="str">
        <f>HYPERLINK("http://www.broadinstitute.org/gsea/msigdb/cards/REACTOME_POSTMITOTIC_NUCLEAR_PORE_COMPLEX_NPC_REFORMATION.html","REACTOME_POSTMITOTIC_NUCLEAR_PORE_COMPLEX_NPC_REFORMATION")</f>
        <v>REACTOME_POSTMITOTIC_NUCLEAR_PORE_COMPLEX_NPC_REFORMATION</v>
      </c>
      <c r="C3852" s="4">
        <v>22</v>
      </c>
      <c r="D3852" s="3">
        <v>0.8874919</v>
      </c>
      <c r="E3852" s="1">
        <v>0.65470090000000003</v>
      </c>
      <c r="F3852" s="2">
        <v>0.78671544999999998</v>
      </c>
    </row>
    <row r="3853" spans="1:6" x14ac:dyDescent="0.25">
      <c r="A3853" t="s">
        <v>6</v>
      </c>
      <c r="B3853" s="5" t="str">
        <f>HYPERLINK("http://www.broadinstitute.org/gsea/msigdb/cards/GOBP_ORGAN_OR_TISSUE_SPECIFIC_IMMUNE_RESPONSE.html","GOBP_ORGAN_OR_TISSUE_SPECIFIC_IMMUNE_RESPONSE")</f>
        <v>GOBP_ORGAN_OR_TISSUE_SPECIFIC_IMMUNE_RESPONSE</v>
      </c>
      <c r="C3853" s="4">
        <v>28</v>
      </c>
      <c r="D3853" s="3">
        <v>0.88738760000000005</v>
      </c>
      <c r="E3853" s="1">
        <v>0.65794070000000004</v>
      </c>
      <c r="F3853" s="2">
        <v>0.78675309999999998</v>
      </c>
    </row>
    <row r="3854" spans="1:6" x14ac:dyDescent="0.25">
      <c r="A3854" t="s">
        <v>6</v>
      </c>
      <c r="B3854" s="5" t="str">
        <f>HYPERLINK("http://www.broadinstitute.org/gsea/msigdb/cards/GOBP_MONOAMINE_TRANSPORT.html","GOBP_MONOAMINE_TRANSPORT")</f>
        <v>GOBP_MONOAMINE_TRANSPORT</v>
      </c>
      <c r="C3854" s="4">
        <v>111</v>
      </c>
      <c r="D3854" s="3">
        <v>0.88662339999999995</v>
      </c>
      <c r="E3854" s="1">
        <v>0.69539373999999998</v>
      </c>
      <c r="F3854" s="2">
        <v>0.78826350000000001</v>
      </c>
    </row>
    <row r="3855" spans="1:6" x14ac:dyDescent="0.25">
      <c r="A3855" t="s">
        <v>6</v>
      </c>
      <c r="B3855" s="5" t="str">
        <f>HYPERLINK("http://www.broadinstitute.org/gsea/msigdb/cards/GOBP_CARDIAC_MUSCLE_TISSUE_MORPHOGENESIS.html","GOBP_CARDIAC_MUSCLE_TISSUE_MORPHOGENESIS")</f>
        <v>GOBP_CARDIAC_MUSCLE_TISSUE_MORPHOGENESIS</v>
      </c>
      <c r="C3855" s="4">
        <v>68</v>
      </c>
      <c r="D3855" s="3">
        <v>0.88631990000000005</v>
      </c>
      <c r="E3855" s="1">
        <v>0.69858710000000002</v>
      </c>
      <c r="F3855" s="2">
        <v>0.78874429999999995</v>
      </c>
    </row>
    <row r="3856" spans="1:6" x14ac:dyDescent="0.25">
      <c r="A3856" t="s">
        <v>7</v>
      </c>
      <c r="B3856" s="5" t="str">
        <f>HYPERLINK("http://www.broadinstitute.org/gsea/msigdb/cards/GOCC_POSTSYNAPTIC_DENSITY_INTRACELLULAR_COMPONENT.html","GOCC_POSTSYNAPTIC_DENSITY_INTRACELLULAR_COMPONENT")</f>
        <v>GOCC_POSTSYNAPTIC_DENSITY_INTRACELLULAR_COMPONENT</v>
      </c>
      <c r="C3856" s="4">
        <v>42</v>
      </c>
      <c r="D3856" s="3">
        <v>0.88587930000000004</v>
      </c>
      <c r="E3856" s="1">
        <v>0.66552900000000004</v>
      </c>
      <c r="F3856" s="2">
        <v>0.78953373000000004</v>
      </c>
    </row>
    <row r="3857" spans="1:6" x14ac:dyDescent="0.25">
      <c r="A3857" t="s">
        <v>6</v>
      </c>
      <c r="B3857" s="5" t="str">
        <f>HYPERLINK("http://www.broadinstitute.org/gsea/msigdb/cards/GOBP_REGULATION_OF_ADENYLATE_CYCLASE_ACTIVATING_G_PROTEIN_COUPLED_RECEPTOR_SIGNALING_PATHWAY.html","GOBP_REGULATION_OF_ADENYLATE_CYCLASE_ACTIVATING_G_PROTEIN_COUPLED_RECEPTOR_SIGNALING_PATHWAY")</f>
        <v>GOBP_REGULATION_OF_ADENYLATE_CYCLASE_ACTIVATING_G_PROTEIN_COUPLED_RECEPTOR_SIGNALING_PATHWAY</v>
      </c>
      <c r="C3857" s="4">
        <v>19</v>
      </c>
      <c r="D3857" s="3">
        <v>0.88584940000000001</v>
      </c>
      <c r="E3857" s="1">
        <v>0.61821364999999995</v>
      </c>
      <c r="F3857" s="2">
        <v>0.78939839999999994</v>
      </c>
    </row>
    <row r="3858" spans="1:6" x14ac:dyDescent="0.25">
      <c r="A3858" t="s">
        <v>6</v>
      </c>
      <c r="B3858" s="5" t="str">
        <f>HYPERLINK("http://www.broadinstitute.org/gsea/msigdb/cards/GOBP_NEGATIVE_REGULATION_OF_COLLAGEN_METABOLIC_PROCESS.html","GOBP_NEGATIVE_REGULATION_OF_COLLAGEN_METABOLIC_PROCESS")</f>
        <v>GOBP_NEGATIVE_REGULATION_OF_COLLAGEN_METABOLIC_PROCESS</v>
      </c>
      <c r="C3858" s="4">
        <v>19</v>
      </c>
      <c r="D3858" s="3">
        <v>0.88550050000000002</v>
      </c>
      <c r="E3858" s="1">
        <v>0.59363955000000002</v>
      </c>
      <c r="F3858" s="2">
        <v>0.79001087000000003</v>
      </c>
    </row>
    <row r="3859" spans="1:6" x14ac:dyDescent="0.25">
      <c r="A3859" t="s">
        <v>6</v>
      </c>
      <c r="B3859" s="5" t="str">
        <f>HYPERLINK("http://www.broadinstitute.org/gsea/msigdb/cards/GOBP_POSITIVE_REGULATION_OF_MYOTUBE_DIFFERENTIATION.html","GOBP_POSITIVE_REGULATION_OF_MYOTUBE_DIFFERENTIATION")</f>
        <v>GOBP_POSITIVE_REGULATION_OF_MYOTUBE_DIFFERENTIATION</v>
      </c>
      <c r="C3859" s="4">
        <v>15</v>
      </c>
      <c r="D3859" s="3">
        <v>0.88522990000000001</v>
      </c>
      <c r="E3859" s="1">
        <v>0.61605584999999996</v>
      </c>
      <c r="F3859" s="2">
        <v>0.79041980000000001</v>
      </c>
    </row>
    <row r="3860" spans="1:6" x14ac:dyDescent="0.25">
      <c r="A3860" t="s">
        <v>6</v>
      </c>
      <c r="B3860" s="5" t="str">
        <f>HYPERLINK("http://www.broadinstitute.org/gsea/msigdb/cards/GOBP_RESPONSE_TO_UV.html","GOBP_RESPONSE_TO_UV")</f>
        <v>GOBP_RESPONSE_TO_UV</v>
      </c>
      <c r="C3860" s="4">
        <v>155</v>
      </c>
      <c r="D3860" s="3">
        <v>0.88518609999999998</v>
      </c>
      <c r="E3860" s="1">
        <v>0.74709300000000001</v>
      </c>
      <c r="F3860" s="2">
        <v>0.79031929999999995</v>
      </c>
    </row>
    <row r="3861" spans="1:6" x14ac:dyDescent="0.25">
      <c r="A3861" t="s">
        <v>5</v>
      </c>
      <c r="B3861" s="5" t="str">
        <f>HYPERLINK("http://www.broadinstitute.org/gsea/msigdb/cards/BIOCARTA_WNT_PATHWAY.html","BIOCARTA_WNT_PATHWAY")</f>
        <v>BIOCARTA_WNT_PATHWAY</v>
      </c>
      <c r="C3861" s="4">
        <v>23</v>
      </c>
      <c r="D3861" s="3">
        <v>0.88298076000000003</v>
      </c>
      <c r="E3861" s="1">
        <v>0.62203390000000003</v>
      </c>
      <c r="F3861" s="2">
        <v>0.79512333999999996</v>
      </c>
    </row>
    <row r="3862" spans="1:6" x14ac:dyDescent="0.25">
      <c r="A3862" t="s">
        <v>6</v>
      </c>
      <c r="B3862" s="5" t="str">
        <f>HYPERLINK("http://www.broadinstitute.org/gsea/msigdb/cards/GOBP_REGULATION_OF_CELL_DIVISION.html","GOBP_REGULATION_OF_CELL_DIVISION")</f>
        <v>GOBP_REGULATION_OF_CELL_DIVISION</v>
      </c>
      <c r="C3862" s="4">
        <v>176</v>
      </c>
      <c r="D3862" s="3">
        <v>0.88273619999999997</v>
      </c>
      <c r="E3862" s="1">
        <v>0.75675680000000001</v>
      </c>
      <c r="F3862" s="2">
        <v>0.79548280000000005</v>
      </c>
    </row>
    <row r="3863" spans="1:6" x14ac:dyDescent="0.25">
      <c r="A3863" t="s">
        <v>6</v>
      </c>
      <c r="B3863" s="5" t="str">
        <f>HYPERLINK("http://www.broadinstitute.org/gsea/msigdb/cards/GOBP_RELAXATION_OF_MUSCLE.html","GOBP_RELAXATION_OF_MUSCLE")</f>
        <v>GOBP_RELAXATION_OF_MUSCLE</v>
      </c>
      <c r="C3863" s="4">
        <v>36</v>
      </c>
      <c r="D3863" s="3">
        <v>0.88265382999999997</v>
      </c>
      <c r="E3863" s="1">
        <v>0.66888519999999996</v>
      </c>
      <c r="F3863" s="2">
        <v>0.79545825999999997</v>
      </c>
    </row>
    <row r="3864" spans="1:6" x14ac:dyDescent="0.25">
      <c r="A3864" t="s">
        <v>6</v>
      </c>
      <c r="B3864" s="5" t="str">
        <f>HYPERLINK("http://www.broadinstitute.org/gsea/msigdb/cards/GOBP_RESPONSE_TO_LIGHT_STIMULUS.html","GOBP_RESPONSE_TO_LIGHT_STIMULUS")</f>
        <v>GOBP_RESPONSE_TO_LIGHT_STIMULUS</v>
      </c>
      <c r="C3864" s="4">
        <v>323</v>
      </c>
      <c r="D3864" s="3">
        <v>0.88263579999999997</v>
      </c>
      <c r="E3864" s="1">
        <v>0.80683309999999997</v>
      </c>
      <c r="F3864" s="2">
        <v>0.79529000000000005</v>
      </c>
    </row>
    <row r="3865" spans="1:6" x14ac:dyDescent="0.25">
      <c r="A3865" t="s">
        <v>6</v>
      </c>
      <c r="B3865" s="5" t="str">
        <f>HYPERLINK("http://www.broadinstitute.org/gsea/msigdb/cards/GOBP_SERINE_FAMILY_AMINO_ACID_METABOLIC_PROCESS.html","GOBP_SERINE_FAMILY_AMINO_ACID_METABOLIC_PROCESS")</f>
        <v>GOBP_SERINE_FAMILY_AMINO_ACID_METABOLIC_PROCESS</v>
      </c>
      <c r="C3865" s="4">
        <v>36</v>
      </c>
      <c r="D3865" s="3">
        <v>0.88231515999999999</v>
      </c>
      <c r="E3865" s="1">
        <v>0.66006600000000004</v>
      </c>
      <c r="F3865" s="2">
        <v>0.79580019999999996</v>
      </c>
    </row>
    <row r="3866" spans="1:6" x14ac:dyDescent="0.25">
      <c r="A3866" t="s">
        <v>10</v>
      </c>
      <c r="B3866" s="5" t="str">
        <f>HYPERLINK("http://www.broadinstitute.org/gsea/msigdb/cards/REACTOME_BILE_ACID_AND_BILE_SALT_METABOLISM.html","REACTOME_BILE_ACID_AND_BILE_SALT_METABOLISM")</f>
        <v>REACTOME_BILE_ACID_AND_BILE_SALT_METABOLISM</v>
      </c>
      <c r="C3866" s="4">
        <v>44</v>
      </c>
      <c r="D3866" s="3">
        <v>0.88174914999999998</v>
      </c>
      <c r="E3866" s="1">
        <v>0.65587735000000003</v>
      </c>
      <c r="F3866" s="2">
        <v>0.79685720000000004</v>
      </c>
    </row>
    <row r="3867" spans="1:6" x14ac:dyDescent="0.25">
      <c r="A3867" t="s">
        <v>6</v>
      </c>
      <c r="B3867" s="5" t="str">
        <f>HYPERLINK("http://www.broadinstitute.org/gsea/msigdb/cards/GOBP_EPITHELIAL_CELL_FATE_COMMITMENT.html","GOBP_EPITHELIAL_CELL_FATE_COMMITMENT")</f>
        <v>GOBP_EPITHELIAL_CELL_FATE_COMMITMENT</v>
      </c>
      <c r="C3867" s="4">
        <v>17</v>
      </c>
      <c r="D3867" s="3">
        <v>0.88151829999999998</v>
      </c>
      <c r="E3867" s="1">
        <v>0.64046824000000002</v>
      </c>
      <c r="F3867" s="2">
        <v>0.79715970000000003</v>
      </c>
    </row>
    <row r="3868" spans="1:6" x14ac:dyDescent="0.25">
      <c r="A3868" t="s">
        <v>6</v>
      </c>
      <c r="B3868" s="5" t="str">
        <f>HYPERLINK("http://www.broadinstitute.org/gsea/msigdb/cards/GOBP_VENTRICULAR_CARDIAC_MUSCLE_CELL_MEMBRANE_REPOLARIZATION.html","GOBP_VENTRICULAR_CARDIAC_MUSCLE_CELL_MEMBRANE_REPOLARIZATION")</f>
        <v>GOBP_VENTRICULAR_CARDIAC_MUSCLE_CELL_MEMBRANE_REPOLARIZATION</v>
      </c>
      <c r="C3868" s="4">
        <v>23</v>
      </c>
      <c r="D3868" s="3">
        <v>0.88144310000000003</v>
      </c>
      <c r="E3868" s="1">
        <v>0.64249579999999995</v>
      </c>
      <c r="F3868" s="2">
        <v>0.79712044999999998</v>
      </c>
    </row>
    <row r="3869" spans="1:6" x14ac:dyDescent="0.25">
      <c r="A3869" t="s">
        <v>8</v>
      </c>
      <c r="B3869" s="5" t="str">
        <f>HYPERLINK("http://www.broadinstitute.org/gsea/msigdb/cards/GOMF_PALMITOYLTRANSFERASE_ACTIVITY.html","GOMF_PALMITOYLTRANSFERASE_ACTIVITY")</f>
        <v>GOMF_PALMITOYLTRANSFERASE_ACTIVITY</v>
      </c>
      <c r="C3869" s="4">
        <v>33</v>
      </c>
      <c r="D3869" s="3">
        <v>0.881027</v>
      </c>
      <c r="E3869" s="1">
        <v>0.64510489999999998</v>
      </c>
      <c r="F3869" s="2">
        <v>0.79783744000000001</v>
      </c>
    </row>
    <row r="3870" spans="1:6" x14ac:dyDescent="0.25">
      <c r="A3870" t="s">
        <v>6</v>
      </c>
      <c r="B3870" s="5" t="str">
        <f>HYPERLINK("http://www.broadinstitute.org/gsea/msigdb/cards/GOBP_MONOSACCHARIDE_BIOSYNTHETIC_PROCESS.html","GOBP_MONOSACCHARIDE_BIOSYNTHETIC_PROCESS")</f>
        <v>GOBP_MONOSACCHARIDE_BIOSYNTHETIC_PROCESS</v>
      </c>
      <c r="C3870" s="4">
        <v>102</v>
      </c>
      <c r="D3870" s="3">
        <v>0.88035940000000001</v>
      </c>
      <c r="E3870" s="1">
        <v>0.70991254000000004</v>
      </c>
      <c r="F3870" s="2">
        <v>0.79913526999999995</v>
      </c>
    </row>
    <row r="3871" spans="1:6" x14ac:dyDescent="0.25">
      <c r="A3871" t="s">
        <v>7</v>
      </c>
      <c r="B3871" s="5" t="str">
        <f>HYPERLINK("http://www.broadinstitute.org/gsea/msigdb/cards/GOCC_TRANSCRIPTION_ELONGATION_FACTOR_COMPLEX.html","GOCC_TRANSCRIPTION_ELONGATION_FACTOR_COMPLEX")</f>
        <v>GOCC_TRANSCRIPTION_ELONGATION_FACTOR_COMPLEX</v>
      </c>
      <c r="C3871" s="4">
        <v>51</v>
      </c>
      <c r="D3871" s="3">
        <v>0.88023143999999998</v>
      </c>
      <c r="E3871" s="1">
        <v>0.67260940000000002</v>
      </c>
      <c r="F3871" s="2">
        <v>0.7992108</v>
      </c>
    </row>
    <row r="3872" spans="1:6" x14ac:dyDescent="0.25">
      <c r="A3872" t="s">
        <v>6</v>
      </c>
      <c r="B3872" s="5" t="str">
        <f>HYPERLINK("http://www.broadinstitute.org/gsea/msigdb/cards/GOBP_NEGATIVE_REGULATION_OF_ORGANELLE_ASSEMBLY.html","GOBP_NEGATIVE_REGULATION_OF_ORGANELLE_ASSEMBLY")</f>
        <v>GOBP_NEGATIVE_REGULATION_OF_ORGANELLE_ASSEMBLY</v>
      </c>
      <c r="C3872" s="4">
        <v>46</v>
      </c>
      <c r="D3872" s="3">
        <v>0.87997453999999997</v>
      </c>
      <c r="E3872" s="1">
        <v>0.65886290000000003</v>
      </c>
      <c r="F3872" s="2">
        <v>0.79959290000000005</v>
      </c>
    </row>
    <row r="3873" spans="1:6" x14ac:dyDescent="0.25">
      <c r="A3873" t="s">
        <v>6</v>
      </c>
      <c r="B3873" s="5" t="str">
        <f>HYPERLINK("http://www.broadinstitute.org/gsea/msigdb/cards/GOBP_NEGATIVE_REGULATION_OF_STEROID_METABOLIC_PROCESS.html","GOBP_NEGATIVE_REGULATION_OF_STEROID_METABOLIC_PROCESS")</f>
        <v>GOBP_NEGATIVE_REGULATION_OF_STEROID_METABOLIC_PROCESS</v>
      </c>
      <c r="C3873" s="4">
        <v>26</v>
      </c>
      <c r="D3873" s="3">
        <v>0.87991129999999995</v>
      </c>
      <c r="E3873" s="1">
        <v>0.64013266999999996</v>
      </c>
      <c r="F3873" s="2">
        <v>0.79953070000000004</v>
      </c>
    </row>
    <row r="3874" spans="1:6" x14ac:dyDescent="0.25">
      <c r="A3874" t="s">
        <v>6</v>
      </c>
      <c r="B3874" s="5" t="str">
        <f>HYPERLINK("http://www.broadinstitute.org/gsea/msigdb/cards/GOBP_CALCIUM_ION_IMPORT.html","GOBP_CALCIUM_ION_IMPORT")</f>
        <v>GOBP_CALCIUM_ION_IMPORT</v>
      </c>
      <c r="C3874" s="4">
        <v>55</v>
      </c>
      <c r="D3874" s="3">
        <v>0.87958515000000004</v>
      </c>
      <c r="E3874" s="1">
        <v>0.68860350000000004</v>
      </c>
      <c r="F3874" s="2">
        <v>0.80005269999999995</v>
      </c>
    </row>
    <row r="3875" spans="1:6" x14ac:dyDescent="0.25">
      <c r="A3875" t="s">
        <v>6</v>
      </c>
      <c r="B3875" s="5" t="str">
        <f>HYPERLINK("http://www.broadinstitute.org/gsea/msigdb/cards/GOBP_MRNA_TRANSCRIPTION.html","GOBP_MRNA_TRANSCRIPTION")</f>
        <v>GOBP_MRNA_TRANSCRIPTION</v>
      </c>
      <c r="C3875" s="4">
        <v>52</v>
      </c>
      <c r="D3875" s="3">
        <v>0.87948274999999998</v>
      </c>
      <c r="E3875" s="1">
        <v>0.70077520000000004</v>
      </c>
      <c r="F3875" s="2">
        <v>0.80005349999999997</v>
      </c>
    </row>
    <row r="3876" spans="1:6" x14ac:dyDescent="0.25">
      <c r="A3876" t="s">
        <v>6</v>
      </c>
      <c r="B3876" s="5" t="str">
        <f>HYPERLINK("http://www.broadinstitute.org/gsea/msigdb/cards/GOBP_NEURAL_PRECURSOR_CELL_PROLIFERATION.html","GOBP_NEURAL_PRECURSOR_CELL_PROLIFERATION")</f>
        <v>GOBP_NEURAL_PRECURSOR_CELL_PROLIFERATION</v>
      </c>
      <c r="C3876" s="4">
        <v>222</v>
      </c>
      <c r="D3876" s="3">
        <v>0.87934064999999995</v>
      </c>
      <c r="E3876" s="1">
        <v>0.78875169999999994</v>
      </c>
      <c r="F3876" s="2">
        <v>0.80014799999999997</v>
      </c>
    </row>
    <row r="3877" spans="1:6" x14ac:dyDescent="0.25">
      <c r="A3877" t="s">
        <v>6</v>
      </c>
      <c r="B3877" s="5" t="str">
        <f>HYPERLINK("http://www.broadinstitute.org/gsea/msigdb/cards/GOBP_NEURON_INTRINSIC_APOPTOTIC_SIGNALING_PATHWAY_IN_RESPONSE_TO_OXIDATIVE_STRESS.html","GOBP_NEURON_INTRINSIC_APOPTOTIC_SIGNALING_PATHWAY_IN_RESPONSE_TO_OXIDATIVE_STRESS")</f>
        <v>GOBP_NEURON_INTRINSIC_APOPTOTIC_SIGNALING_PATHWAY_IN_RESPONSE_TO_OXIDATIVE_STRESS</v>
      </c>
      <c r="C3877" s="4">
        <v>20</v>
      </c>
      <c r="D3877" s="3">
        <v>0.87903350000000002</v>
      </c>
      <c r="E3877" s="1">
        <v>0.64482759999999995</v>
      </c>
      <c r="F3877" s="2">
        <v>0.8006489</v>
      </c>
    </row>
    <row r="3878" spans="1:6" x14ac:dyDescent="0.25">
      <c r="A3878" t="s">
        <v>7</v>
      </c>
      <c r="B3878" s="5" t="str">
        <f>HYPERLINK("http://www.broadinstitute.org/gsea/msigdb/cards/GOCC_AGGRESOME.html","GOCC_AGGRESOME")</f>
        <v>GOCC_AGGRESOME</v>
      </c>
      <c r="C3878" s="4">
        <v>36</v>
      </c>
      <c r="D3878" s="3">
        <v>0.87856144000000003</v>
      </c>
      <c r="E3878" s="1">
        <v>0.66392094000000001</v>
      </c>
      <c r="F3878" s="2">
        <v>0.80149144000000005</v>
      </c>
    </row>
    <row r="3879" spans="1:6" x14ac:dyDescent="0.25">
      <c r="A3879" t="s">
        <v>6</v>
      </c>
      <c r="B3879" s="5" t="str">
        <f>HYPERLINK("http://www.broadinstitute.org/gsea/msigdb/cards/GOBP_POSITIVE_REGULATION_OF_UBIQUITIN_DEPENDENT_PROTEIN_CATABOLIC_PROCESS.html","GOBP_POSITIVE_REGULATION_OF_UBIQUITIN_DEPENDENT_PROTEIN_CATABOLIC_PROCESS")</f>
        <v>GOBP_POSITIVE_REGULATION_OF_UBIQUITIN_DEPENDENT_PROTEIN_CATABOLIC_PROCESS</v>
      </c>
      <c r="C3879" s="4">
        <v>108</v>
      </c>
      <c r="D3879" s="3">
        <v>0.87837856999999997</v>
      </c>
      <c r="E3879" s="1">
        <v>0.72281779999999995</v>
      </c>
      <c r="F3879" s="2">
        <v>0.80168150000000005</v>
      </c>
    </row>
    <row r="3880" spans="1:6" x14ac:dyDescent="0.25">
      <c r="A3880" t="s">
        <v>6</v>
      </c>
      <c r="B3880" s="5" t="str">
        <f>HYPERLINK("http://www.broadinstitute.org/gsea/msigdb/cards/GOBP_NEGATIVE_REGULATION_OF_DNA_DAMAGE_RESPONSE_SIGNAL_TRANSDUCTION_BY_P53_CLASS_MEDIATOR.html","GOBP_NEGATIVE_REGULATION_OF_DNA_DAMAGE_RESPONSE_SIGNAL_TRANSDUCTION_BY_P53_CLASS_MEDIATOR")</f>
        <v>GOBP_NEGATIVE_REGULATION_OF_DNA_DAMAGE_RESPONSE_SIGNAL_TRANSDUCTION_BY_P53_CLASS_MEDIATOR</v>
      </c>
      <c r="C3880" s="4">
        <v>15</v>
      </c>
      <c r="D3880" s="3">
        <v>0.8778918</v>
      </c>
      <c r="E3880" s="1">
        <v>0.64111499999999999</v>
      </c>
      <c r="F3880" s="2">
        <v>0.80253759999999996</v>
      </c>
    </row>
    <row r="3881" spans="1:6" x14ac:dyDescent="0.25">
      <c r="A3881" t="s">
        <v>10</v>
      </c>
      <c r="B3881" s="5" t="str">
        <f>HYPERLINK("http://www.broadinstitute.org/gsea/msigdb/cards/REACTOME_SIGNALING_BY_FGFR2.html","REACTOME_SIGNALING_BY_FGFR2")</f>
        <v>REACTOME_SIGNALING_BY_FGFR2</v>
      </c>
      <c r="C3881" s="4">
        <v>61</v>
      </c>
      <c r="D3881" s="3">
        <v>0.8777355</v>
      </c>
      <c r="E3881" s="1">
        <v>0.69004893</v>
      </c>
      <c r="F3881" s="2">
        <v>0.80268525999999996</v>
      </c>
    </row>
    <row r="3882" spans="1:6" x14ac:dyDescent="0.25">
      <c r="A3882" t="s">
        <v>8</v>
      </c>
      <c r="B3882" s="5" t="str">
        <f>HYPERLINK("http://www.broadinstitute.org/gsea/msigdb/cards/GOMF_DIOXYGENASE_ACTIVITY.html","GOMF_DIOXYGENASE_ACTIVITY")</f>
        <v>GOMF_DIOXYGENASE_ACTIVITY</v>
      </c>
      <c r="C3882" s="4">
        <v>93</v>
      </c>
      <c r="D3882" s="3">
        <v>0.87747662999999998</v>
      </c>
      <c r="E3882" s="1">
        <v>0.72619045000000004</v>
      </c>
      <c r="F3882" s="2">
        <v>0.80304220000000004</v>
      </c>
    </row>
    <row r="3883" spans="1:6" x14ac:dyDescent="0.25">
      <c r="A3883" t="s">
        <v>8</v>
      </c>
      <c r="B3883" s="5" t="str">
        <f>HYPERLINK("http://www.broadinstitute.org/gsea/msigdb/cards/GOMF_FIBROBLAST_GROWTH_FACTOR_RECEPTOR_BINDING.html","GOMF_FIBROBLAST_GROWTH_FACTOR_RECEPTOR_BINDING")</f>
        <v>GOMF_FIBROBLAST_GROWTH_FACTOR_RECEPTOR_BINDING</v>
      </c>
      <c r="C3883" s="4">
        <v>29</v>
      </c>
      <c r="D3883" s="3">
        <v>0.87738329999999998</v>
      </c>
      <c r="E3883" s="1">
        <v>0.64119599999999999</v>
      </c>
      <c r="F3883" s="2">
        <v>0.80306480000000002</v>
      </c>
    </row>
    <row r="3884" spans="1:6" x14ac:dyDescent="0.25">
      <c r="A3884" t="s">
        <v>11</v>
      </c>
      <c r="B3884" s="5" t="str">
        <f>HYPERLINK("http://www.broadinstitute.org/gsea/msigdb/cards/WP_NUCLEAR_RECEPTORS_IN_LIPID_METABOLISM_AND_TOXICITY.html","WP_NUCLEAR_RECEPTORS_IN_LIPID_METABOLISM_AND_TOXICITY")</f>
        <v>WP_NUCLEAR_RECEPTORS_IN_LIPID_METABOLISM_AND_TOXICITY</v>
      </c>
      <c r="C3884" s="4">
        <v>30</v>
      </c>
      <c r="D3884" s="3">
        <v>0.87681949999999997</v>
      </c>
      <c r="E3884" s="1">
        <v>0.68509215000000001</v>
      </c>
      <c r="F3884" s="2">
        <v>0.80412519999999998</v>
      </c>
    </row>
    <row r="3885" spans="1:6" x14ac:dyDescent="0.25">
      <c r="A3885" t="s">
        <v>6</v>
      </c>
      <c r="B3885" s="5" t="str">
        <f>HYPERLINK("http://www.broadinstitute.org/gsea/msigdb/cards/GOBP_REGULATION_OF_URINE_VOLUME.html","GOBP_REGULATION_OF_URINE_VOLUME")</f>
        <v>GOBP_REGULATION_OF_URINE_VOLUME</v>
      </c>
      <c r="C3885" s="4">
        <v>25</v>
      </c>
      <c r="D3885" s="3">
        <v>0.87648152999999995</v>
      </c>
      <c r="E3885" s="1">
        <v>0.66006600000000004</v>
      </c>
      <c r="F3885" s="2">
        <v>0.80464820000000004</v>
      </c>
    </row>
    <row r="3886" spans="1:6" x14ac:dyDescent="0.25">
      <c r="A3886" t="s">
        <v>5</v>
      </c>
      <c r="B3886" s="5" t="str">
        <f>HYPERLINK("http://www.broadinstitute.org/gsea/msigdb/cards/BIOCARTA_HER2_PATHWAY.html","BIOCARTA_HER2_PATHWAY")</f>
        <v>BIOCARTA_HER2_PATHWAY</v>
      </c>
      <c r="C3886" s="4">
        <v>23</v>
      </c>
      <c r="D3886" s="3">
        <v>0.87620246000000002</v>
      </c>
      <c r="E3886" s="1">
        <v>0.65166663999999996</v>
      </c>
      <c r="F3886" s="2">
        <v>0.80506420000000001</v>
      </c>
    </row>
    <row r="3887" spans="1:6" x14ac:dyDescent="0.25">
      <c r="A3887" t="s">
        <v>6</v>
      </c>
      <c r="B3887" s="5" t="str">
        <f>HYPERLINK("http://www.broadinstitute.org/gsea/msigdb/cards/GOBP_LENS_MORPHOGENESIS_IN_CAMERA_TYPE_EYE.html","GOBP_LENS_MORPHOGENESIS_IN_CAMERA_TYPE_EYE")</f>
        <v>GOBP_LENS_MORPHOGENESIS_IN_CAMERA_TYPE_EYE</v>
      </c>
      <c r="C3887" s="4">
        <v>27</v>
      </c>
      <c r="D3887" s="3">
        <v>0.87610600000000005</v>
      </c>
      <c r="E3887" s="1">
        <v>0.64884140000000001</v>
      </c>
      <c r="F3887" s="2">
        <v>0.80507119999999999</v>
      </c>
    </row>
    <row r="3888" spans="1:6" x14ac:dyDescent="0.25">
      <c r="A3888" t="s">
        <v>6</v>
      </c>
      <c r="B3888" s="5" t="str">
        <f>HYPERLINK("http://www.broadinstitute.org/gsea/msigdb/cards/GOBP_POSITIVE_REGULATION_OF_NEUROBLAST_PROLIFERATION.html","GOBP_POSITIVE_REGULATION_OF_NEUROBLAST_PROLIFERATION")</f>
        <v>GOBP_POSITIVE_REGULATION_OF_NEUROBLAST_PROLIFERATION</v>
      </c>
      <c r="C3888" s="4">
        <v>42</v>
      </c>
      <c r="D3888" s="3">
        <v>0.87608160000000002</v>
      </c>
      <c r="E3888" s="1">
        <v>0.66555184000000001</v>
      </c>
      <c r="F3888" s="2">
        <v>0.80491579999999996</v>
      </c>
    </row>
    <row r="3889" spans="1:6" x14ac:dyDescent="0.25">
      <c r="A3889" t="s">
        <v>6</v>
      </c>
      <c r="B3889" s="5" t="str">
        <f>HYPERLINK("http://www.broadinstitute.org/gsea/msigdb/cards/GOBP_PYRIMIDINE_RIBONUCLEOSIDE_TRIPHOSPHATE_METABOLIC_PROCESS.html","GOBP_PYRIMIDINE_RIBONUCLEOSIDE_TRIPHOSPHATE_METABOLIC_PROCESS")</f>
        <v>GOBP_PYRIMIDINE_RIBONUCLEOSIDE_TRIPHOSPHATE_METABOLIC_PROCESS</v>
      </c>
      <c r="C3889" s="4">
        <v>15</v>
      </c>
      <c r="D3889" s="3">
        <v>0.87552154000000004</v>
      </c>
      <c r="E3889" s="1">
        <v>0.66959579999999996</v>
      </c>
      <c r="F3889" s="2">
        <v>0.80593820000000005</v>
      </c>
    </row>
    <row r="3890" spans="1:6" x14ac:dyDescent="0.25">
      <c r="A3890" t="s">
        <v>10</v>
      </c>
      <c r="B3890" s="5" t="str">
        <f>HYPERLINK("http://www.broadinstitute.org/gsea/msigdb/cards/REACTOME_METABOLISM_OF_FOLATE_AND_PTERINES.html","REACTOME_METABOLISM_OF_FOLATE_AND_PTERINES")</f>
        <v>REACTOME_METABOLISM_OF_FOLATE_AND_PTERINES</v>
      </c>
      <c r="C3890" s="4">
        <v>16</v>
      </c>
      <c r="D3890" s="3">
        <v>0.87521565000000001</v>
      </c>
      <c r="E3890" s="1">
        <v>0.64788734999999997</v>
      </c>
      <c r="F3890" s="2">
        <v>0.80640429999999996</v>
      </c>
    </row>
    <row r="3891" spans="1:6" x14ac:dyDescent="0.25">
      <c r="A3891" t="s">
        <v>6</v>
      </c>
      <c r="B3891" s="5" t="str">
        <f>HYPERLINK("http://www.broadinstitute.org/gsea/msigdb/cards/GOBP_REGULATION_OF_CILIUM_DEPENDENT_CELL_MOTILITY.html","GOBP_REGULATION_OF_CILIUM_DEPENDENT_CELL_MOTILITY")</f>
        <v>GOBP_REGULATION_OF_CILIUM_DEPENDENT_CELL_MOTILITY</v>
      </c>
      <c r="C3891" s="4">
        <v>27</v>
      </c>
      <c r="D3891" s="3">
        <v>0.87508892999999999</v>
      </c>
      <c r="E3891" s="1">
        <v>0.67224079999999997</v>
      </c>
      <c r="F3891" s="2">
        <v>0.80647564000000005</v>
      </c>
    </row>
    <row r="3892" spans="1:6" x14ac:dyDescent="0.25">
      <c r="A3892" t="s">
        <v>6</v>
      </c>
      <c r="B3892" s="5" t="str">
        <f>HYPERLINK("http://www.broadinstitute.org/gsea/msigdb/cards/GOBP_INTERSTRAND_CROSS_LINK_REPAIR.html","GOBP_INTERSTRAND_CROSS_LINK_REPAIR")</f>
        <v>GOBP_INTERSTRAND_CROSS_LINK_REPAIR</v>
      </c>
      <c r="C3892" s="4">
        <v>32</v>
      </c>
      <c r="D3892" s="3">
        <v>0.87496339999999995</v>
      </c>
      <c r="E3892" s="1">
        <v>0.64033616000000004</v>
      </c>
      <c r="F3892" s="2">
        <v>0.80652570000000001</v>
      </c>
    </row>
    <row r="3893" spans="1:6" x14ac:dyDescent="0.25">
      <c r="A3893" t="s">
        <v>6</v>
      </c>
      <c r="B3893" s="5" t="str">
        <f>HYPERLINK("http://www.broadinstitute.org/gsea/msigdb/cards/GOBP_MESENCHYMAL_TO_EPITHELIAL_TRANSITION.html","GOBP_MESENCHYMAL_TO_EPITHELIAL_TRANSITION")</f>
        <v>GOBP_MESENCHYMAL_TO_EPITHELIAL_TRANSITION</v>
      </c>
      <c r="C3893" s="4">
        <v>17</v>
      </c>
      <c r="D3893" s="3">
        <v>0.87490635999999999</v>
      </c>
      <c r="E3893" s="1">
        <v>0.64644710000000005</v>
      </c>
      <c r="F3893" s="2">
        <v>0.80644446999999997</v>
      </c>
    </row>
    <row r="3894" spans="1:6" x14ac:dyDescent="0.25">
      <c r="A3894" t="s">
        <v>10</v>
      </c>
      <c r="B3894" s="5" t="str">
        <f>HYPERLINK("http://www.broadinstitute.org/gsea/msigdb/cards/REACTOME_MTORC1_MEDIATED_SIGNALLING.html","REACTOME_MTORC1_MEDIATED_SIGNALLING")</f>
        <v>REACTOME_MTORC1_MEDIATED_SIGNALLING</v>
      </c>
      <c r="C3894" s="4">
        <v>24</v>
      </c>
      <c r="D3894" s="3">
        <v>0.87486600000000003</v>
      </c>
      <c r="E3894" s="1">
        <v>0.64805409999999997</v>
      </c>
      <c r="F3894" s="2">
        <v>0.80632890000000002</v>
      </c>
    </row>
    <row r="3895" spans="1:6" x14ac:dyDescent="0.25">
      <c r="A3895" t="s">
        <v>6</v>
      </c>
      <c r="B3895" s="5" t="str">
        <f>HYPERLINK("http://www.broadinstitute.org/gsea/msigdb/cards/GOBP_RESPONSE_TO_IRON_ION.html","GOBP_RESPONSE_TO_IRON_ION")</f>
        <v>GOBP_RESPONSE_TO_IRON_ION</v>
      </c>
      <c r="C3895" s="4">
        <v>22</v>
      </c>
      <c r="D3895" s="3">
        <v>0.87429939999999995</v>
      </c>
      <c r="E3895" s="1">
        <v>0.64576274</v>
      </c>
      <c r="F3895" s="2">
        <v>0.80739119999999998</v>
      </c>
    </row>
    <row r="3896" spans="1:6" x14ac:dyDescent="0.25">
      <c r="A3896" t="s">
        <v>6</v>
      </c>
      <c r="B3896" s="5" t="str">
        <f>HYPERLINK("http://www.broadinstitute.org/gsea/msigdb/cards/GOBP_MONOATOMIC_ANION_HOMEOSTASIS.html","GOBP_MONOATOMIC_ANION_HOMEOSTASIS")</f>
        <v>GOBP_MONOATOMIC_ANION_HOMEOSTASIS</v>
      </c>
      <c r="C3896" s="4">
        <v>26</v>
      </c>
      <c r="D3896" s="3">
        <v>0.8741641</v>
      </c>
      <c r="E3896" s="1">
        <v>0.66556289999999996</v>
      </c>
      <c r="F3896" s="2">
        <v>0.80747723999999999</v>
      </c>
    </row>
    <row r="3897" spans="1:6" x14ac:dyDescent="0.25">
      <c r="A3897" t="s">
        <v>6</v>
      </c>
      <c r="B3897" s="5" t="str">
        <f>HYPERLINK("http://www.broadinstitute.org/gsea/msigdb/cards/GOBP_EMBRYONIC_AXIS_SPECIFICATION.html","GOBP_EMBRYONIC_AXIS_SPECIFICATION")</f>
        <v>GOBP_EMBRYONIC_AXIS_SPECIFICATION</v>
      </c>
      <c r="C3897" s="4">
        <v>45</v>
      </c>
      <c r="D3897" s="3">
        <v>0.87366074000000005</v>
      </c>
      <c r="E3897" s="1">
        <v>0.67666669999999995</v>
      </c>
      <c r="F3897" s="2">
        <v>0.80836450000000004</v>
      </c>
    </row>
    <row r="3898" spans="1:6" x14ac:dyDescent="0.25">
      <c r="A3898" t="s">
        <v>6</v>
      </c>
      <c r="B3898" s="5" t="str">
        <f>HYPERLINK("http://www.broadinstitute.org/gsea/msigdb/cards/GOBP_POSITIVE_REGULATION_OF_REPRODUCTIVE_PROCESS.html","GOBP_POSITIVE_REGULATION_OF_REPRODUCTIVE_PROCESS")</f>
        <v>GOBP_POSITIVE_REGULATION_OF_REPRODUCTIVE_PROCESS</v>
      </c>
      <c r="C3898" s="4">
        <v>100</v>
      </c>
      <c r="D3898" s="3">
        <v>0.87362770000000001</v>
      </c>
      <c r="E3898" s="1">
        <v>0.72741429999999996</v>
      </c>
      <c r="F3898" s="2">
        <v>0.80823535000000002</v>
      </c>
    </row>
    <row r="3899" spans="1:6" x14ac:dyDescent="0.25">
      <c r="A3899" t="s">
        <v>6</v>
      </c>
      <c r="B3899" s="5" t="str">
        <f>HYPERLINK("http://www.broadinstitute.org/gsea/msigdb/cards/GOBP_REGULATION_OF_AMYLOID_FIBRIL_FORMATION.html","GOBP_REGULATION_OF_AMYLOID_FIBRIL_FORMATION")</f>
        <v>GOBP_REGULATION_OF_AMYLOID_FIBRIL_FORMATION</v>
      </c>
      <c r="C3899" s="4">
        <v>16</v>
      </c>
      <c r="D3899" s="3">
        <v>0.87324259999999998</v>
      </c>
      <c r="E3899" s="1">
        <v>0.66666669999999995</v>
      </c>
      <c r="F3899" s="2">
        <v>0.80887980000000004</v>
      </c>
    </row>
    <row r="3900" spans="1:6" x14ac:dyDescent="0.25">
      <c r="A3900" t="s">
        <v>6</v>
      </c>
      <c r="B3900" s="5" t="str">
        <f>HYPERLINK("http://www.broadinstitute.org/gsea/msigdb/cards/GOBP_MITOTIC_CYTOKINESIS.html","GOBP_MITOTIC_CYTOKINESIS")</f>
        <v>GOBP_MITOTIC_CYTOKINESIS</v>
      </c>
      <c r="C3900" s="4">
        <v>81</v>
      </c>
      <c r="D3900" s="3">
        <v>0.87290084000000001</v>
      </c>
      <c r="E3900" s="1">
        <v>0.73013490000000003</v>
      </c>
      <c r="F3900" s="2">
        <v>0.80944199999999999</v>
      </c>
    </row>
    <row r="3901" spans="1:6" x14ac:dyDescent="0.25">
      <c r="A3901" t="s">
        <v>7</v>
      </c>
      <c r="B3901" s="5" t="str">
        <f>HYPERLINK("http://www.broadinstitute.org/gsea/msigdb/cards/GOCC_SEH1_ASSOCIATED_COMPLEX.html","GOCC_SEH1_ASSOCIATED_COMPLEX")</f>
        <v>GOCC_SEH1_ASSOCIATED_COMPLEX</v>
      </c>
      <c r="C3901" s="4">
        <v>15</v>
      </c>
      <c r="D3901" s="3">
        <v>0.87263995000000005</v>
      </c>
      <c r="E3901" s="1">
        <v>0.62738300000000002</v>
      </c>
      <c r="F3901" s="2">
        <v>0.80980384000000005</v>
      </c>
    </row>
    <row r="3902" spans="1:6" x14ac:dyDescent="0.25">
      <c r="A3902" t="s">
        <v>6</v>
      </c>
      <c r="B3902" s="5" t="str">
        <f>HYPERLINK("http://www.broadinstitute.org/gsea/msigdb/cards/GOBP_SEMAPHORIN_PLEXIN_SIGNALING_PATHWAY_INVOLVED_IN_NEURON_PROJECTION_GUIDANCE.html","GOBP_SEMAPHORIN_PLEXIN_SIGNALING_PATHWAY_INVOLVED_IN_NEURON_PROJECTION_GUIDANCE")</f>
        <v>GOBP_SEMAPHORIN_PLEXIN_SIGNALING_PATHWAY_INVOLVED_IN_NEURON_PROJECTION_GUIDANCE</v>
      </c>
      <c r="C3902" s="4">
        <v>17</v>
      </c>
      <c r="D3902" s="3">
        <v>0.87255550000000004</v>
      </c>
      <c r="E3902" s="1">
        <v>0.63286715999999998</v>
      </c>
      <c r="F3902" s="2">
        <v>0.80978819999999996</v>
      </c>
    </row>
    <row r="3903" spans="1:6" x14ac:dyDescent="0.25">
      <c r="A3903" t="s">
        <v>6</v>
      </c>
      <c r="B3903" s="5" t="str">
        <f>HYPERLINK("http://www.broadinstitute.org/gsea/msigdb/cards/GOBP_POSITIVE_REGULATION_OF_MITOCHONDRIAL_FISSION.html","GOBP_POSITIVE_REGULATION_OF_MITOCHONDRIAL_FISSION")</f>
        <v>GOBP_POSITIVE_REGULATION_OF_MITOCHONDRIAL_FISSION</v>
      </c>
      <c r="C3903" s="4">
        <v>23</v>
      </c>
      <c r="D3903" s="3">
        <v>0.87198715999999998</v>
      </c>
      <c r="E3903" s="1">
        <v>0.65128209999999997</v>
      </c>
      <c r="F3903" s="2">
        <v>0.81085390000000002</v>
      </c>
    </row>
    <row r="3904" spans="1:6" x14ac:dyDescent="0.25">
      <c r="A3904" t="s">
        <v>8</v>
      </c>
      <c r="B3904" s="5" t="str">
        <f>HYPERLINK("http://www.broadinstitute.org/gsea/msigdb/cards/GOMF_RNA_STEM_LOOP_BINDING.html","GOMF_RNA_STEM_LOOP_BINDING")</f>
        <v>GOMF_RNA_STEM_LOOP_BINDING</v>
      </c>
      <c r="C3904" s="4">
        <v>18</v>
      </c>
      <c r="D3904" s="3">
        <v>0.87177660000000001</v>
      </c>
      <c r="E3904" s="1">
        <v>0.64406779999999997</v>
      </c>
      <c r="F3904" s="2">
        <v>0.81109240000000005</v>
      </c>
    </row>
    <row r="3905" spans="1:6" x14ac:dyDescent="0.25">
      <c r="A3905" t="s">
        <v>6</v>
      </c>
      <c r="B3905" s="5" t="str">
        <f>HYPERLINK("http://www.broadinstitute.org/gsea/msigdb/cards/GOBP_ESTABLISHMENT_OF_PROTEIN_LOCALIZATION_TO_PLASMA_MEMBRANE.html","GOBP_ESTABLISHMENT_OF_PROTEIN_LOCALIZATION_TO_PLASMA_MEMBRANE")</f>
        <v>GOBP_ESTABLISHMENT_OF_PROTEIN_LOCALIZATION_TO_PLASMA_MEMBRANE</v>
      </c>
      <c r="C3905" s="4">
        <v>67</v>
      </c>
      <c r="D3905" s="3">
        <v>0.87148886999999997</v>
      </c>
      <c r="E3905" s="1">
        <v>0.69781930000000003</v>
      </c>
      <c r="F3905" s="2">
        <v>0.81151514999999996</v>
      </c>
    </row>
    <row r="3906" spans="1:6" x14ac:dyDescent="0.25">
      <c r="A3906" t="s">
        <v>6</v>
      </c>
      <c r="B3906" s="5" t="str">
        <f>HYPERLINK("http://www.broadinstitute.org/gsea/msigdb/cards/GOBP_ADENYLATE_CYCLASE_ACTIVATING_ADRENERGIC_RECEPTOR_SIGNALING_PATHWAY.html","GOBP_ADENYLATE_CYCLASE_ACTIVATING_ADRENERGIC_RECEPTOR_SIGNALING_PATHWAY")</f>
        <v>GOBP_ADENYLATE_CYCLASE_ACTIVATING_ADRENERGIC_RECEPTOR_SIGNALING_PATHWAY</v>
      </c>
      <c r="C3906" s="4">
        <v>25</v>
      </c>
      <c r="D3906" s="3">
        <v>0.87134809999999996</v>
      </c>
      <c r="E3906" s="1">
        <v>0.66542749999999995</v>
      </c>
      <c r="F3906" s="2">
        <v>0.81161665999999999</v>
      </c>
    </row>
    <row r="3907" spans="1:6" x14ac:dyDescent="0.25">
      <c r="A3907" t="s">
        <v>6</v>
      </c>
      <c r="B3907" s="5" t="str">
        <f>HYPERLINK("http://www.broadinstitute.org/gsea/msigdb/cards/GOBP_REGULATION_OF_EXCITATORY_SYNAPSE_ASSEMBLY.html","GOBP_REGULATION_OF_EXCITATORY_SYNAPSE_ASSEMBLY")</f>
        <v>GOBP_REGULATION_OF_EXCITATORY_SYNAPSE_ASSEMBLY</v>
      </c>
      <c r="C3907" s="4">
        <v>20</v>
      </c>
      <c r="D3907" s="3">
        <v>0.87091030000000003</v>
      </c>
      <c r="E3907" s="1">
        <v>0.65523463000000004</v>
      </c>
      <c r="F3907" s="2">
        <v>0.81236430000000004</v>
      </c>
    </row>
    <row r="3908" spans="1:6" x14ac:dyDescent="0.25">
      <c r="A3908" t="s">
        <v>6</v>
      </c>
      <c r="B3908" s="5" t="str">
        <f>HYPERLINK("http://www.broadinstitute.org/gsea/msigdb/cards/GOBP_POLYPRENOL_METABOLIC_PROCESS.html","GOBP_POLYPRENOL_METABOLIC_PROCESS")</f>
        <v>GOBP_POLYPRENOL_METABOLIC_PROCESS</v>
      </c>
      <c r="C3908" s="4">
        <v>18</v>
      </c>
      <c r="D3908" s="3">
        <v>0.87086063999999996</v>
      </c>
      <c r="E3908" s="1">
        <v>0.64736842999999999</v>
      </c>
      <c r="F3908" s="2">
        <v>0.81227629999999995</v>
      </c>
    </row>
    <row r="3909" spans="1:6" x14ac:dyDescent="0.25">
      <c r="A3909" t="s">
        <v>5</v>
      </c>
      <c r="B3909" s="5" t="str">
        <f>HYPERLINK("http://www.broadinstitute.org/gsea/msigdb/cards/BIOCARTA_HDAC_PATHWAY.html","BIOCARTA_HDAC_PATHWAY")</f>
        <v>BIOCARTA_HDAC_PATHWAY</v>
      </c>
      <c r="C3909" s="4">
        <v>23</v>
      </c>
      <c r="D3909" s="3">
        <v>0.87075650000000004</v>
      </c>
      <c r="E3909" s="1">
        <v>0.66377819999999998</v>
      </c>
      <c r="F3909" s="2">
        <v>0.81228750000000005</v>
      </c>
    </row>
    <row r="3910" spans="1:6" x14ac:dyDescent="0.25">
      <c r="A3910" t="s">
        <v>8</v>
      </c>
      <c r="B3910" s="5" t="str">
        <f>HYPERLINK("http://www.broadinstitute.org/gsea/msigdb/cards/GOMF_RACEMASE_AND_EPIMERASE_ACTIVITY.html","GOMF_RACEMASE_AND_EPIMERASE_ACTIVITY")</f>
        <v>GOMF_RACEMASE_AND_EPIMERASE_ACTIVITY</v>
      </c>
      <c r="C3910" s="4">
        <v>16</v>
      </c>
      <c r="D3910" s="3">
        <v>0.87073920000000005</v>
      </c>
      <c r="E3910" s="1">
        <v>0.64444447000000005</v>
      </c>
      <c r="F3910" s="2">
        <v>0.81211429999999996</v>
      </c>
    </row>
    <row r="3911" spans="1:6" x14ac:dyDescent="0.25">
      <c r="A3911" t="s">
        <v>6</v>
      </c>
      <c r="B3911" s="5" t="str">
        <f>HYPERLINK("http://www.broadinstitute.org/gsea/msigdb/cards/GOBP_REGULATION_OF_DNA_BIOSYNTHETIC_PROCESS.html","GOBP_REGULATION_OF_DNA_BIOSYNTHETIC_PROCESS")</f>
        <v>GOBP_REGULATION_OF_DNA_BIOSYNTHETIC_PROCESS</v>
      </c>
      <c r="C3911" s="4">
        <v>125</v>
      </c>
      <c r="D3911" s="3">
        <v>0.87063699999999999</v>
      </c>
      <c r="E3911" s="1">
        <v>0.75538459999999996</v>
      </c>
      <c r="F3911" s="2">
        <v>0.81212280000000003</v>
      </c>
    </row>
    <row r="3912" spans="1:6" x14ac:dyDescent="0.25">
      <c r="A3912" t="s">
        <v>6</v>
      </c>
      <c r="B3912" s="5" t="str">
        <f>HYPERLINK("http://www.broadinstitute.org/gsea/msigdb/cards/GOBP_POSITIVE_REGULATION_OF_GLUTAMATE_SECRETION.html","GOBP_POSITIVE_REGULATION_OF_GLUTAMATE_SECRETION")</f>
        <v>GOBP_POSITIVE_REGULATION_OF_GLUTAMATE_SECRETION</v>
      </c>
      <c r="C3912" s="4">
        <v>15</v>
      </c>
      <c r="D3912" s="3">
        <v>0.87005540000000003</v>
      </c>
      <c r="E3912" s="1">
        <v>0.62631579999999998</v>
      </c>
      <c r="F3912" s="2">
        <v>0.81319153</v>
      </c>
    </row>
    <row r="3913" spans="1:6" x14ac:dyDescent="0.25">
      <c r="A3913" t="s">
        <v>6</v>
      </c>
      <c r="B3913" s="5" t="str">
        <f>HYPERLINK("http://www.broadinstitute.org/gsea/msigdb/cards/GOBP_NEGATIVE_REGULATION_OF_CALCIUM_ION_TRANSMEMBRANE_TRANSPORT.html","GOBP_NEGATIVE_REGULATION_OF_CALCIUM_ION_TRANSMEMBRANE_TRANSPORT")</f>
        <v>GOBP_NEGATIVE_REGULATION_OF_CALCIUM_ION_TRANSMEMBRANE_TRANSPORT</v>
      </c>
      <c r="C3913" s="4">
        <v>56</v>
      </c>
      <c r="D3913" s="3">
        <v>0.86983160000000004</v>
      </c>
      <c r="E3913" s="1">
        <v>0.70240000000000002</v>
      </c>
      <c r="F3913" s="2">
        <v>0.81347179999999997</v>
      </c>
    </row>
    <row r="3914" spans="1:6" x14ac:dyDescent="0.25">
      <c r="A3914" t="s">
        <v>10</v>
      </c>
      <c r="B3914" s="5" t="str">
        <f>HYPERLINK("http://www.broadinstitute.org/gsea/msigdb/cards/REACTOME_ACYL_CHAIN_REMODELLING_OF_PE.html","REACTOME_ACYL_CHAIN_REMODELLING_OF_PE")</f>
        <v>REACTOME_ACYL_CHAIN_REMODELLING_OF_PE</v>
      </c>
      <c r="C3914" s="4">
        <v>25</v>
      </c>
      <c r="D3914" s="3">
        <v>0.86917263</v>
      </c>
      <c r="E3914" s="1">
        <v>0.66944910000000002</v>
      </c>
      <c r="F3914" s="2">
        <v>0.81466340000000004</v>
      </c>
    </row>
    <row r="3915" spans="1:6" x14ac:dyDescent="0.25">
      <c r="A3915" t="s">
        <v>8</v>
      </c>
      <c r="B3915" s="5" t="str">
        <f>HYPERLINK("http://www.broadinstitute.org/gsea/msigdb/cards/GOMF_MRNA_3_UTR_AU_RICH_REGION_BINDING.html","GOMF_MRNA_3_UTR_AU_RICH_REGION_BINDING")</f>
        <v>GOMF_MRNA_3_UTR_AU_RICH_REGION_BINDING</v>
      </c>
      <c r="C3915" s="4">
        <v>29</v>
      </c>
      <c r="D3915" s="3">
        <v>0.86847675000000002</v>
      </c>
      <c r="E3915" s="1">
        <v>0.66725350000000005</v>
      </c>
      <c r="F3915" s="2">
        <v>0.81597410000000004</v>
      </c>
    </row>
    <row r="3916" spans="1:6" x14ac:dyDescent="0.25">
      <c r="A3916" t="s">
        <v>6</v>
      </c>
      <c r="B3916" s="5" t="str">
        <f>HYPERLINK("http://www.broadinstitute.org/gsea/msigdb/cards/GOBP_RESPONSE_TO_GAMMA_RADIATION.html","GOBP_RESPONSE_TO_GAMMA_RADIATION")</f>
        <v>GOBP_RESPONSE_TO_GAMMA_RADIATION</v>
      </c>
      <c r="C3916" s="4">
        <v>49</v>
      </c>
      <c r="D3916" s="3">
        <v>0.86839330000000003</v>
      </c>
      <c r="E3916" s="1">
        <v>0.7052117</v>
      </c>
      <c r="F3916" s="2">
        <v>0.81593550000000004</v>
      </c>
    </row>
    <row r="3917" spans="1:6" x14ac:dyDescent="0.25">
      <c r="A3917" t="s">
        <v>6</v>
      </c>
      <c r="B3917" s="5" t="str">
        <f>HYPERLINK("http://www.broadinstitute.org/gsea/msigdb/cards/GOBP_EMBRYONIC_CRANIAL_SKELETON_MORPHOGENESIS.html","GOBP_EMBRYONIC_CRANIAL_SKELETON_MORPHOGENESIS")</f>
        <v>GOBP_EMBRYONIC_CRANIAL_SKELETON_MORPHOGENESIS</v>
      </c>
      <c r="C3917" s="4">
        <v>52</v>
      </c>
      <c r="D3917" s="3">
        <v>0.86788240000000005</v>
      </c>
      <c r="E3917" s="1">
        <v>0.68799999999999994</v>
      </c>
      <c r="F3917" s="2">
        <v>0.81683209999999995</v>
      </c>
    </row>
    <row r="3918" spans="1:6" x14ac:dyDescent="0.25">
      <c r="A3918" t="s">
        <v>5</v>
      </c>
      <c r="B3918" s="5" t="str">
        <f>HYPERLINK("http://www.broadinstitute.org/gsea/msigdb/cards/BIOCARTA_VIP_PATHWAY.html","BIOCARTA_VIP_PATHWAY")</f>
        <v>BIOCARTA_VIP_PATHWAY</v>
      </c>
      <c r="C3918" s="4">
        <v>24</v>
      </c>
      <c r="D3918" s="3">
        <v>0.86755747000000005</v>
      </c>
      <c r="E3918" s="1">
        <v>0.68771329999999997</v>
      </c>
      <c r="F3918" s="2">
        <v>0.81730729999999996</v>
      </c>
    </row>
    <row r="3919" spans="1:6" x14ac:dyDescent="0.25">
      <c r="A3919" t="s">
        <v>6</v>
      </c>
      <c r="B3919" s="5" t="str">
        <f>HYPERLINK("http://www.broadinstitute.org/gsea/msigdb/cards/GOBP_REGULATION_OF_LONG_TERM_SYNAPTIC_DEPRESSION.html","GOBP_REGULATION_OF_LONG_TERM_SYNAPTIC_DEPRESSION")</f>
        <v>GOBP_REGULATION_OF_LONG_TERM_SYNAPTIC_DEPRESSION</v>
      </c>
      <c r="C3919" s="4">
        <v>19</v>
      </c>
      <c r="D3919" s="3">
        <v>0.86744845000000004</v>
      </c>
      <c r="E3919" s="1">
        <v>0.62033899999999997</v>
      </c>
      <c r="F3919" s="2">
        <v>0.81733630000000002</v>
      </c>
    </row>
    <row r="3920" spans="1:6" x14ac:dyDescent="0.25">
      <c r="A3920" t="s">
        <v>6</v>
      </c>
      <c r="B3920" s="5" t="str">
        <f>HYPERLINK("http://www.broadinstitute.org/gsea/msigdb/cards/GOBP_NEGATIVE_REGULATION_OF_PEPTIDE_SECRETION.html","GOBP_NEGATIVE_REGULATION_OF_PEPTIDE_SECRETION")</f>
        <v>GOBP_NEGATIVE_REGULATION_OF_PEPTIDE_SECRETION</v>
      </c>
      <c r="C3920" s="4">
        <v>70</v>
      </c>
      <c r="D3920" s="3">
        <v>0.86711839999999996</v>
      </c>
      <c r="E3920" s="1">
        <v>0.73447203999999999</v>
      </c>
      <c r="F3920" s="2">
        <v>0.81782920000000003</v>
      </c>
    </row>
    <row r="3921" spans="1:6" x14ac:dyDescent="0.25">
      <c r="A3921" t="s">
        <v>8</v>
      </c>
      <c r="B3921" s="5" t="str">
        <f>HYPERLINK("http://www.broadinstitute.org/gsea/msigdb/cards/GOMF_LONG_CHAIN_FATTY_ACID_BINDING.html","GOMF_LONG_CHAIN_FATTY_ACID_BINDING")</f>
        <v>GOMF_LONG_CHAIN_FATTY_ACID_BINDING</v>
      </c>
      <c r="C3921" s="4">
        <v>20</v>
      </c>
      <c r="D3921" s="3">
        <v>0.8669886</v>
      </c>
      <c r="E3921" s="1">
        <v>0.67586210000000002</v>
      </c>
      <c r="F3921" s="2">
        <v>0.81789535000000002</v>
      </c>
    </row>
    <row r="3922" spans="1:6" x14ac:dyDescent="0.25">
      <c r="A3922" t="s">
        <v>6</v>
      </c>
      <c r="B3922" s="5" t="str">
        <f>HYPERLINK("http://www.broadinstitute.org/gsea/msigdb/cards/GOBP_REGULATION_OF_SKELETAL_MUSCLE_CELL_PROLIFERATION.html","GOBP_REGULATION_OF_SKELETAL_MUSCLE_CELL_PROLIFERATION")</f>
        <v>GOBP_REGULATION_OF_SKELETAL_MUSCLE_CELL_PROLIFERATION</v>
      </c>
      <c r="C3922" s="4">
        <v>16</v>
      </c>
      <c r="D3922" s="3">
        <v>0.86693050000000005</v>
      </c>
      <c r="E3922" s="1">
        <v>0.64539009999999997</v>
      </c>
      <c r="F3922" s="2">
        <v>0.81781024000000002</v>
      </c>
    </row>
    <row r="3923" spans="1:6" x14ac:dyDescent="0.25">
      <c r="A3923" t="s">
        <v>6</v>
      </c>
      <c r="B3923" s="5" t="str">
        <f>HYPERLINK("http://www.broadinstitute.org/gsea/msigdb/cards/GOBP_CELLULAR_RESPONSE_TO_TOXIC_SUBSTANCE.html","GOBP_CELLULAR_RESPONSE_TO_TOXIC_SUBSTANCE")</f>
        <v>GOBP_CELLULAR_RESPONSE_TO_TOXIC_SUBSTANCE</v>
      </c>
      <c r="C3923" s="4">
        <v>59</v>
      </c>
      <c r="D3923" s="3">
        <v>0.86686087000000001</v>
      </c>
      <c r="E3923" s="1">
        <v>0.71636949999999999</v>
      </c>
      <c r="F3923" s="2">
        <v>0.81776225999999996</v>
      </c>
    </row>
    <row r="3924" spans="1:6" x14ac:dyDescent="0.25">
      <c r="A3924" t="s">
        <v>6</v>
      </c>
      <c r="B3924" s="5" t="str">
        <f>HYPERLINK("http://www.broadinstitute.org/gsea/msigdb/cards/GOBP_ERYTHROCYTE_DEVELOPMENT.html","GOBP_ERYTHROCYTE_DEVELOPMENT")</f>
        <v>GOBP_ERYTHROCYTE_DEVELOPMENT</v>
      </c>
      <c r="C3924" s="4">
        <v>46</v>
      </c>
      <c r="D3924" s="3">
        <v>0.86651520000000004</v>
      </c>
      <c r="E3924" s="1">
        <v>0.71178346999999997</v>
      </c>
      <c r="F3924" s="2">
        <v>0.81830550000000002</v>
      </c>
    </row>
    <row r="3925" spans="1:6" x14ac:dyDescent="0.25">
      <c r="A3925" t="s">
        <v>6</v>
      </c>
      <c r="B3925" s="5" t="str">
        <f>HYPERLINK("http://www.broadinstitute.org/gsea/msigdb/cards/GOBP_REGULATION_OF_PROTEIN_DEACETYLATION.html","GOBP_REGULATION_OF_PROTEIN_DEACETYLATION")</f>
        <v>GOBP_REGULATION_OF_PROTEIN_DEACETYLATION</v>
      </c>
      <c r="C3925" s="4">
        <v>38</v>
      </c>
      <c r="D3925" s="3">
        <v>0.86635450000000003</v>
      </c>
      <c r="E3925" s="1">
        <v>0.69059009999999998</v>
      </c>
      <c r="F3925" s="2">
        <v>0.81844293999999995</v>
      </c>
    </row>
    <row r="3926" spans="1:6" x14ac:dyDescent="0.25">
      <c r="A3926" t="s">
        <v>6</v>
      </c>
      <c r="B3926" s="5" t="str">
        <f>HYPERLINK("http://www.broadinstitute.org/gsea/msigdb/cards/GOBP_AMINO_ACID_ACTIVATION.html","GOBP_AMINO_ACID_ACTIVATION")</f>
        <v>GOBP_AMINO_ACID_ACTIVATION</v>
      </c>
      <c r="C3926" s="4">
        <v>45</v>
      </c>
      <c r="D3926" s="3">
        <v>0.86629480000000003</v>
      </c>
      <c r="E3926" s="1">
        <v>0.69934640000000003</v>
      </c>
      <c r="F3926" s="2">
        <v>0.81836620000000004</v>
      </c>
    </row>
    <row r="3927" spans="1:6" x14ac:dyDescent="0.25">
      <c r="A3927" t="s">
        <v>6</v>
      </c>
      <c r="B3927" s="5" t="str">
        <f>HYPERLINK("http://www.broadinstitute.org/gsea/msigdb/cards/GOBP_NEGATIVE_REGULATION_OF_PLASMA_MEMBRANE_BOUNDED_CELL_PROJECTION_ASSEMBLY.html","GOBP_NEGATIVE_REGULATION_OF_PLASMA_MEMBRANE_BOUNDED_CELL_PROJECTION_ASSEMBLY")</f>
        <v>GOBP_NEGATIVE_REGULATION_OF_PLASMA_MEMBRANE_BOUNDED_CELL_PROJECTION_ASSEMBLY</v>
      </c>
      <c r="C3927" s="4">
        <v>38</v>
      </c>
      <c r="D3927" s="3">
        <v>0.86580734999999998</v>
      </c>
      <c r="E3927" s="1">
        <v>0.69141909999999995</v>
      </c>
      <c r="F3927" s="2">
        <v>0.81922289999999998</v>
      </c>
    </row>
    <row r="3928" spans="1:6" x14ac:dyDescent="0.25">
      <c r="A3928" t="s">
        <v>10</v>
      </c>
      <c r="B3928" s="5" t="str">
        <f>HYPERLINK("http://www.broadinstitute.org/gsea/msigdb/cards/REACTOME_JNK_C_JUN_KINASES_PHOSPHORYLATION_AND_ACTIVATION_MEDIATED_BY_ACTIVATED_HUMAN_TAK1.html","REACTOME_JNK_C_JUN_KINASES_PHOSPHORYLATION_AND_ACTIVATION_MEDIATED_BY_ACTIVATED_HUMAN_TAK1")</f>
        <v>REACTOME_JNK_C_JUN_KINASES_PHOSPHORYLATION_AND_ACTIVATION_MEDIATED_BY_ACTIVATED_HUMAN_TAK1</v>
      </c>
      <c r="C3928" s="4">
        <v>22</v>
      </c>
      <c r="D3928" s="3">
        <v>0.86550974999999997</v>
      </c>
      <c r="E3928" s="1">
        <v>0.64716004999999999</v>
      </c>
      <c r="F3928" s="2">
        <v>0.81965566000000001</v>
      </c>
    </row>
    <row r="3929" spans="1:6" x14ac:dyDescent="0.25">
      <c r="A3929" t="s">
        <v>6</v>
      </c>
      <c r="B3929" s="5" t="str">
        <f>HYPERLINK("http://www.broadinstitute.org/gsea/msigdb/cards/GOBP_PYRIMIDINE_NUCLEOSIDE_TRIPHOSPHATE_BIOSYNTHETIC_PROCESS.html","GOBP_PYRIMIDINE_NUCLEOSIDE_TRIPHOSPHATE_BIOSYNTHETIC_PROCESS")</f>
        <v>GOBP_PYRIMIDINE_NUCLEOSIDE_TRIPHOSPHATE_BIOSYNTHETIC_PROCESS</v>
      </c>
      <c r="C3929" s="4">
        <v>15</v>
      </c>
      <c r="D3929" s="3">
        <v>0.86548625999999995</v>
      </c>
      <c r="E3929" s="1">
        <v>0.64924115000000004</v>
      </c>
      <c r="F3929" s="2">
        <v>0.81949989999999995</v>
      </c>
    </row>
    <row r="3930" spans="1:6" x14ac:dyDescent="0.25">
      <c r="A3930" t="s">
        <v>6</v>
      </c>
      <c r="B3930" s="5" t="str">
        <f>HYPERLINK("http://www.broadinstitute.org/gsea/msigdb/cards/GOBP_POSITIVE_REGULATION_OF_SODIUM_ION_TRANSPORT.html","GOBP_POSITIVE_REGULATION_OF_SODIUM_ION_TRANSPORT")</f>
        <v>GOBP_POSITIVE_REGULATION_OF_SODIUM_ION_TRANSPORT</v>
      </c>
      <c r="C3930" s="4">
        <v>43</v>
      </c>
      <c r="D3930" s="3">
        <v>0.86541159999999995</v>
      </c>
      <c r="E3930" s="1">
        <v>0.69734790000000002</v>
      </c>
      <c r="F3930" s="2">
        <v>0.81945789999999996</v>
      </c>
    </row>
    <row r="3931" spans="1:6" x14ac:dyDescent="0.25">
      <c r="A3931" t="s">
        <v>6</v>
      </c>
      <c r="B3931" s="5" t="str">
        <f>HYPERLINK("http://www.broadinstitute.org/gsea/msigdb/cards/GOBP_MEMBRANE_FISSION.html","GOBP_MEMBRANE_FISSION")</f>
        <v>GOBP_MEMBRANE_FISSION</v>
      </c>
      <c r="C3931" s="4">
        <v>30</v>
      </c>
      <c r="D3931" s="3">
        <v>0.86528194000000003</v>
      </c>
      <c r="E3931" s="1">
        <v>0.66555739999999997</v>
      </c>
      <c r="F3931" s="2">
        <v>0.8195211</v>
      </c>
    </row>
    <row r="3932" spans="1:6" x14ac:dyDescent="0.25">
      <c r="A3932" t="s">
        <v>6</v>
      </c>
      <c r="B3932" s="5" t="str">
        <f>HYPERLINK("http://www.broadinstitute.org/gsea/msigdb/cards/GOBP_SIGNAL_PEPTIDE_PROCESSING.html","GOBP_SIGNAL_PEPTIDE_PROCESSING")</f>
        <v>GOBP_SIGNAL_PEPTIDE_PROCESSING</v>
      </c>
      <c r="C3932" s="4">
        <v>15</v>
      </c>
      <c r="D3932" s="3">
        <v>0.86518835999999999</v>
      </c>
      <c r="E3932" s="1">
        <v>0.63602939999999997</v>
      </c>
      <c r="F3932" s="2">
        <v>0.81950900000000004</v>
      </c>
    </row>
    <row r="3933" spans="1:6" x14ac:dyDescent="0.25">
      <c r="A3933" t="s">
        <v>11</v>
      </c>
      <c r="B3933" s="5" t="str">
        <f>HYPERLINK("http://www.broadinstitute.org/gsea/msigdb/cards/WP_GLYCOLYSIS_AND_GLUCONEOGENESIS.html","WP_GLYCOLYSIS_AND_GLUCONEOGENESIS")</f>
        <v>WP_GLYCOLYSIS_AND_GLUCONEOGENESIS</v>
      </c>
      <c r="C3933" s="4">
        <v>46</v>
      </c>
      <c r="D3933" s="3">
        <v>0.86497544999999998</v>
      </c>
      <c r="E3933" s="1">
        <v>0.66216220000000003</v>
      </c>
      <c r="F3933" s="2">
        <v>0.81975423999999997</v>
      </c>
    </row>
    <row r="3934" spans="1:6" x14ac:dyDescent="0.25">
      <c r="A3934" t="s">
        <v>8</v>
      </c>
      <c r="B3934" s="5" t="str">
        <f>HYPERLINK("http://www.broadinstitute.org/gsea/msigdb/cards/GOMF_UBIQUITIN_SPECIFIC_PROTEASE_BINDING.html","GOMF_UBIQUITIN_SPECIFIC_PROTEASE_BINDING")</f>
        <v>GOMF_UBIQUITIN_SPECIFIC_PROTEASE_BINDING</v>
      </c>
      <c r="C3934" s="4">
        <v>20</v>
      </c>
      <c r="D3934" s="3">
        <v>0.86479470000000003</v>
      </c>
      <c r="E3934" s="1">
        <v>0.67123290000000002</v>
      </c>
      <c r="F3934" s="2">
        <v>0.81992483000000005</v>
      </c>
    </row>
    <row r="3935" spans="1:6" x14ac:dyDescent="0.25">
      <c r="A3935" t="s">
        <v>10</v>
      </c>
      <c r="B3935" s="5" t="str">
        <f>HYPERLINK("http://www.broadinstitute.org/gsea/msigdb/cards/REACTOME_CLASS_I_PEROXISOMAL_MEMBRANE_PROTEIN_IMPORT.html","REACTOME_CLASS_I_PEROXISOMAL_MEMBRANE_PROTEIN_IMPORT")</f>
        <v>REACTOME_CLASS_I_PEROXISOMAL_MEMBRANE_PROTEIN_IMPORT</v>
      </c>
      <c r="C3935" s="4">
        <v>19</v>
      </c>
      <c r="D3935" s="3">
        <v>0.86465610000000004</v>
      </c>
      <c r="E3935" s="1">
        <v>0.67229729999999999</v>
      </c>
      <c r="F3935" s="2">
        <v>0.82001740000000001</v>
      </c>
    </row>
    <row r="3936" spans="1:6" x14ac:dyDescent="0.25">
      <c r="A3936" t="s">
        <v>6</v>
      </c>
      <c r="B3936" s="5" t="str">
        <f>HYPERLINK("http://www.broadinstitute.org/gsea/msigdb/cards/GOBP_REGULATION_OF_CHOLESTEROL_EFFLUX.html","GOBP_REGULATION_OF_CHOLESTEROL_EFFLUX")</f>
        <v>GOBP_REGULATION_OF_CHOLESTEROL_EFFLUX</v>
      </c>
      <c r="C3936" s="4">
        <v>43</v>
      </c>
      <c r="D3936" s="3">
        <v>0.86451876000000005</v>
      </c>
      <c r="E3936" s="1">
        <v>0.69051580000000001</v>
      </c>
      <c r="F3936" s="2">
        <v>0.82008530000000002</v>
      </c>
    </row>
    <row r="3937" spans="1:6" x14ac:dyDescent="0.25">
      <c r="A3937" t="s">
        <v>8</v>
      </c>
      <c r="B3937" s="5" t="str">
        <f>HYPERLINK("http://www.broadinstitute.org/gsea/msigdb/cards/GOMF_CALMODULIN_DEPENDENT_PROTEIN_KINASE_ACTIVITY.html","GOMF_CALMODULIN_DEPENDENT_PROTEIN_KINASE_ACTIVITY")</f>
        <v>GOMF_CALMODULIN_DEPENDENT_PROTEIN_KINASE_ACTIVITY</v>
      </c>
      <c r="C3937" s="4">
        <v>24</v>
      </c>
      <c r="D3937" s="3">
        <v>0.86443760000000003</v>
      </c>
      <c r="E3937" s="1">
        <v>0.65597147</v>
      </c>
      <c r="F3937" s="2">
        <v>0.82005459999999997</v>
      </c>
    </row>
    <row r="3938" spans="1:6" x14ac:dyDescent="0.25">
      <c r="A3938" t="s">
        <v>10</v>
      </c>
      <c r="B3938" s="5" t="str">
        <f>HYPERLINK("http://www.broadinstitute.org/gsea/msigdb/cards/REACTOME_GOLGI_TO_ER_RETROGRADE_TRANSPORT.html","REACTOME_GOLGI_TO_ER_RETROGRADE_TRANSPORT")</f>
        <v>REACTOME_GOLGI_TO_ER_RETROGRADE_TRANSPORT</v>
      </c>
      <c r="C3938" s="4">
        <v>127</v>
      </c>
      <c r="D3938" s="3">
        <v>0.86390690000000003</v>
      </c>
      <c r="E3938" s="1">
        <v>0.79184860000000001</v>
      </c>
      <c r="F3938" s="2">
        <v>0.82096020000000003</v>
      </c>
    </row>
    <row r="3939" spans="1:6" x14ac:dyDescent="0.25">
      <c r="A3939" t="s">
        <v>6</v>
      </c>
      <c r="B3939" s="5" t="str">
        <f>HYPERLINK("http://www.broadinstitute.org/gsea/msigdb/cards/GOBP_REGULATION_OF_HETEROCHROMATIN_ORGANIZATION.html","GOBP_REGULATION_OF_HETEROCHROMATIN_ORGANIZATION")</f>
        <v>GOBP_REGULATION_OF_HETEROCHROMATIN_ORGANIZATION</v>
      </c>
      <c r="C3939" s="4">
        <v>23</v>
      </c>
      <c r="D3939" s="3">
        <v>0.86383019999999999</v>
      </c>
      <c r="E3939" s="1">
        <v>0.66911759999999998</v>
      </c>
      <c r="F3939" s="2">
        <v>0.82091970000000003</v>
      </c>
    </row>
    <row r="3940" spans="1:6" x14ac:dyDescent="0.25">
      <c r="A3940" t="s">
        <v>8</v>
      </c>
      <c r="B3940" s="5" t="str">
        <f>HYPERLINK("http://www.broadinstitute.org/gsea/msigdb/cards/GOMF_OXIDOREDUCTASE_ACTIVITY_ACTING_ON_PEROXIDE_AS_ACCEPTOR.html","GOMF_OXIDOREDUCTASE_ACTIVITY_ACTING_ON_PEROXIDE_AS_ACCEPTOR")</f>
        <v>GOMF_OXIDOREDUCTASE_ACTIVITY_ACTING_ON_PEROXIDE_AS_ACCEPTOR</v>
      </c>
      <c r="C3940" s="4">
        <v>52</v>
      </c>
      <c r="D3940" s="3">
        <v>0.86324809999999996</v>
      </c>
      <c r="E3940" s="1">
        <v>0.69736843999999998</v>
      </c>
      <c r="F3940" s="2">
        <v>0.82192540000000003</v>
      </c>
    </row>
    <row r="3941" spans="1:6" x14ac:dyDescent="0.25">
      <c r="A3941" t="s">
        <v>6</v>
      </c>
      <c r="B3941" s="5" t="str">
        <f>HYPERLINK("http://www.broadinstitute.org/gsea/msigdb/cards/GOBP_MYELIN_ASSEMBLY.html","GOBP_MYELIN_ASSEMBLY")</f>
        <v>GOBP_MYELIN_ASSEMBLY</v>
      </c>
      <c r="C3941" s="4">
        <v>26</v>
      </c>
      <c r="D3941" s="3">
        <v>0.86323965000000003</v>
      </c>
      <c r="E3941" s="1">
        <v>0.67</v>
      </c>
      <c r="F3941" s="2">
        <v>0.82173649999999998</v>
      </c>
    </row>
    <row r="3942" spans="1:6" x14ac:dyDescent="0.25">
      <c r="A3942" t="s">
        <v>6</v>
      </c>
      <c r="B3942" s="5" t="str">
        <f>HYPERLINK("http://www.broadinstitute.org/gsea/msigdb/cards/GOBP_REGULATION_OF_MITOCHONDRIAL_MEMBRANE_POTENTIAL.html","GOBP_REGULATION_OF_MITOCHONDRIAL_MEMBRANE_POTENTIAL")</f>
        <v>GOBP_REGULATION_OF_MITOCHONDRIAL_MEMBRANE_POTENTIAL</v>
      </c>
      <c r="C3942" s="4">
        <v>89</v>
      </c>
      <c r="D3942" s="3">
        <v>0.86262154999999996</v>
      </c>
      <c r="E3942" s="1">
        <v>0.76461535999999997</v>
      </c>
      <c r="F3942" s="2">
        <v>0.82284694999999997</v>
      </c>
    </row>
    <row r="3943" spans="1:6" x14ac:dyDescent="0.25">
      <c r="A3943" t="s">
        <v>6</v>
      </c>
      <c r="B3943" s="5" t="str">
        <f>HYPERLINK("http://www.broadinstitute.org/gsea/msigdb/cards/GOBP_POSITIVE_REGULATION_OF_LIPID_CATABOLIC_PROCESS.html","GOBP_POSITIVE_REGULATION_OF_LIPID_CATABOLIC_PROCESS")</f>
        <v>GOBP_POSITIVE_REGULATION_OF_LIPID_CATABOLIC_PROCESS</v>
      </c>
      <c r="C3943" s="4">
        <v>31</v>
      </c>
      <c r="D3943" s="3">
        <v>0.86212754000000003</v>
      </c>
      <c r="E3943" s="1">
        <v>0.67594109999999996</v>
      </c>
      <c r="F3943" s="2">
        <v>0.82368169999999996</v>
      </c>
    </row>
    <row r="3944" spans="1:6" x14ac:dyDescent="0.25">
      <c r="A3944" t="s">
        <v>6</v>
      </c>
      <c r="B3944" s="5" t="str">
        <f>HYPERLINK("http://www.broadinstitute.org/gsea/msigdb/cards/GOBP_MAINTENANCE_OF_PROTEIN_LOCATION.html","GOBP_MAINTENANCE_OF_PROTEIN_LOCATION")</f>
        <v>GOBP_MAINTENANCE_OF_PROTEIN_LOCATION</v>
      </c>
      <c r="C3944" s="4">
        <v>106</v>
      </c>
      <c r="D3944" s="3">
        <v>0.86208340000000006</v>
      </c>
      <c r="E3944" s="1">
        <v>0.74497679999999999</v>
      </c>
      <c r="F3944" s="2">
        <v>0.82357340000000001</v>
      </c>
    </row>
    <row r="3945" spans="1:6" x14ac:dyDescent="0.25">
      <c r="A3945" t="s">
        <v>11</v>
      </c>
      <c r="B3945" s="5" t="str">
        <f>HYPERLINK("http://www.broadinstitute.org/gsea/msigdb/cards/WP_ALANINE_AND_ASPARTATE_METABOLISM.html","WP_ALANINE_AND_ASPARTATE_METABOLISM")</f>
        <v>WP_ALANINE_AND_ASPARTATE_METABOLISM</v>
      </c>
      <c r="C3945" s="4">
        <v>15</v>
      </c>
      <c r="D3945" s="3">
        <v>0.86198306000000002</v>
      </c>
      <c r="E3945" s="1">
        <v>0.66605840000000005</v>
      </c>
      <c r="F3945" s="2">
        <v>0.82358379999999998</v>
      </c>
    </row>
    <row r="3946" spans="1:6" x14ac:dyDescent="0.25">
      <c r="A3946" t="s">
        <v>8</v>
      </c>
      <c r="B3946" s="5" t="str">
        <f>HYPERLINK("http://www.broadinstitute.org/gsea/msigdb/cards/GOMF_LIGASE_ACTIVITY_FORMING_CARBON_SULFUR_BONDS.html","GOMF_LIGASE_ACTIVITY_FORMING_CARBON_SULFUR_BONDS")</f>
        <v>GOMF_LIGASE_ACTIVITY_FORMING_CARBON_SULFUR_BONDS</v>
      </c>
      <c r="C3946" s="4">
        <v>38</v>
      </c>
      <c r="D3946" s="3">
        <v>0.86151549999999999</v>
      </c>
      <c r="E3946" s="1">
        <v>0.71357614000000003</v>
      </c>
      <c r="F3946" s="2">
        <v>0.82435700000000001</v>
      </c>
    </row>
    <row r="3947" spans="1:6" x14ac:dyDescent="0.25">
      <c r="A3947" t="s">
        <v>7</v>
      </c>
      <c r="B3947" s="5" t="str">
        <f>HYPERLINK("http://www.broadinstitute.org/gsea/msigdb/cards/GOCC_SNARE_COMPLEX.html","GOCC_SNARE_COMPLEX")</f>
        <v>GOCC_SNARE_COMPLEX</v>
      </c>
      <c r="C3947" s="4">
        <v>47</v>
      </c>
      <c r="D3947" s="3">
        <v>0.86137335999999998</v>
      </c>
      <c r="E3947" s="1">
        <v>0.70202019999999998</v>
      </c>
      <c r="F3947" s="2">
        <v>0.82444899999999999</v>
      </c>
    </row>
    <row r="3948" spans="1:6" x14ac:dyDescent="0.25">
      <c r="A3948" t="s">
        <v>7</v>
      </c>
      <c r="B3948" s="5" t="str">
        <f>HYPERLINK("http://www.broadinstitute.org/gsea/msigdb/cards/GOCC_ROUGH_ENDOPLASMIC_RETICULUM_MEMBRANE.html","GOCC_ROUGH_ENDOPLASMIC_RETICULUM_MEMBRANE")</f>
        <v>GOCC_ROUGH_ENDOPLASMIC_RETICULUM_MEMBRANE</v>
      </c>
      <c r="C3948" s="4">
        <v>17</v>
      </c>
      <c r="D3948" s="3">
        <v>0.86105883000000005</v>
      </c>
      <c r="E3948" s="1">
        <v>0.65270510000000004</v>
      </c>
      <c r="F3948" s="2">
        <v>0.8249012</v>
      </c>
    </row>
    <row r="3949" spans="1:6" x14ac:dyDescent="0.25">
      <c r="A3949" t="s">
        <v>6</v>
      </c>
      <c r="B3949" s="5" t="str">
        <f>HYPERLINK("http://www.broadinstitute.org/gsea/msigdb/cards/GOBP_PROGESTERONE_METABOLIC_PROCESS.html","GOBP_PROGESTERONE_METABOLIC_PROCESS")</f>
        <v>GOBP_PROGESTERONE_METABOLIC_PROCESS</v>
      </c>
      <c r="C3949" s="4">
        <v>17</v>
      </c>
      <c r="D3949" s="3">
        <v>0.86044573999999996</v>
      </c>
      <c r="E3949" s="1">
        <v>0.66238534000000004</v>
      </c>
      <c r="F3949" s="2">
        <v>0.82600399999999996</v>
      </c>
    </row>
    <row r="3950" spans="1:6" x14ac:dyDescent="0.25">
      <c r="A3950" t="s">
        <v>6</v>
      </c>
      <c r="B3950" s="5" t="str">
        <f>HYPERLINK("http://www.broadinstitute.org/gsea/msigdb/cards/GOBP_POSITIVE_REGULATION_OF_ORGAN_GROWTH.html","GOBP_POSITIVE_REGULATION_OF_ORGAN_GROWTH")</f>
        <v>GOBP_POSITIVE_REGULATION_OF_ORGAN_GROWTH</v>
      </c>
      <c r="C3950" s="4">
        <v>62</v>
      </c>
      <c r="D3950" s="3">
        <v>0.86030859999999998</v>
      </c>
      <c r="E3950" s="1">
        <v>0.72968750000000004</v>
      </c>
      <c r="F3950" s="2">
        <v>0.82609109999999997</v>
      </c>
    </row>
    <row r="3951" spans="1:6" x14ac:dyDescent="0.25">
      <c r="A3951" t="s">
        <v>8</v>
      </c>
      <c r="B3951" s="5" t="str">
        <f>HYPERLINK("http://www.broadinstitute.org/gsea/msigdb/cards/GOMF_DNA_HELICASE_ACTIVITY.html","GOMF_DNA_HELICASE_ACTIVITY")</f>
        <v>GOMF_DNA_HELICASE_ACTIVITY</v>
      </c>
      <c r="C3951" s="4">
        <v>55</v>
      </c>
      <c r="D3951" s="3">
        <v>0.86008229999999997</v>
      </c>
      <c r="E3951" s="1">
        <v>0.73786410000000002</v>
      </c>
      <c r="F3951" s="2">
        <v>0.82637229999999995</v>
      </c>
    </row>
    <row r="3952" spans="1:6" x14ac:dyDescent="0.25">
      <c r="A3952" t="s">
        <v>6</v>
      </c>
      <c r="B3952" s="5" t="str">
        <f>HYPERLINK("http://www.broadinstitute.org/gsea/msigdb/cards/GOBP_GLYCEROPHOSPHOLIPID_BIOSYNTHETIC_PROCESS.html","GOBP_GLYCEROPHOSPHOLIPID_BIOSYNTHETIC_PROCESS")</f>
        <v>GOBP_GLYCEROPHOSPHOLIPID_BIOSYNTHETIC_PROCESS</v>
      </c>
      <c r="C3952" s="4">
        <v>167</v>
      </c>
      <c r="D3952" s="3">
        <v>0.85963637000000004</v>
      </c>
      <c r="E3952" s="1">
        <v>0.80143887000000003</v>
      </c>
      <c r="F3952" s="2">
        <v>0.8271252</v>
      </c>
    </row>
    <row r="3953" spans="1:6" x14ac:dyDescent="0.25">
      <c r="A3953" t="s">
        <v>6</v>
      </c>
      <c r="B3953" s="5" t="str">
        <f>HYPERLINK("http://www.broadinstitute.org/gsea/msigdb/cards/GOBP_PHOSPHOLIPID_HOMEOSTASIS.html","GOBP_PHOSPHOLIPID_HOMEOSTASIS")</f>
        <v>GOBP_PHOSPHOLIPID_HOMEOSTASIS</v>
      </c>
      <c r="C3953" s="4">
        <v>17</v>
      </c>
      <c r="D3953" s="3">
        <v>0.85842569999999996</v>
      </c>
      <c r="E3953" s="1">
        <v>0.67474049999999997</v>
      </c>
      <c r="F3953" s="2">
        <v>0.82945060000000004</v>
      </c>
    </row>
    <row r="3954" spans="1:6" x14ac:dyDescent="0.25">
      <c r="A3954" t="s">
        <v>6</v>
      </c>
      <c r="B3954" s="5" t="str">
        <f>HYPERLINK("http://www.broadinstitute.org/gsea/msigdb/cards/GOBP_REGULATION_OF_TELOMERASE_ACTIVITY.html","GOBP_REGULATION_OF_TELOMERASE_ACTIVITY")</f>
        <v>GOBP_REGULATION_OF_TELOMERASE_ACTIVITY</v>
      </c>
      <c r="C3954" s="4">
        <v>46</v>
      </c>
      <c r="D3954" s="3">
        <v>0.85732900000000001</v>
      </c>
      <c r="E3954" s="1">
        <v>0.73397433999999995</v>
      </c>
      <c r="F3954" s="2">
        <v>0.83154110000000003</v>
      </c>
    </row>
    <row r="3955" spans="1:6" x14ac:dyDescent="0.25">
      <c r="A3955" t="s">
        <v>6</v>
      </c>
      <c r="B3955" s="5" t="str">
        <f>HYPERLINK("http://www.broadinstitute.org/gsea/msigdb/cards/GOBP_REGULATION_OF_STRIATED_MUSCLE_TISSUE_DEVELOPMENT.html","GOBP_REGULATION_OF_STRIATED_MUSCLE_TISSUE_DEVELOPMENT")</f>
        <v>GOBP_REGULATION_OF_STRIATED_MUSCLE_TISSUE_DEVELOPMENT</v>
      </c>
      <c r="C3955" s="4">
        <v>24</v>
      </c>
      <c r="D3955" s="3">
        <v>0.85708090000000003</v>
      </c>
      <c r="E3955" s="1">
        <v>0.67445743000000002</v>
      </c>
      <c r="F3955" s="2">
        <v>0.83183980000000002</v>
      </c>
    </row>
    <row r="3956" spans="1:6" x14ac:dyDescent="0.25">
      <c r="A3956" t="s">
        <v>6</v>
      </c>
      <c r="B3956" s="5" t="str">
        <f>HYPERLINK("http://www.broadinstitute.org/gsea/msigdb/cards/GOBP_POLYSACCHARIDE_BIOSYNTHETIC_PROCESS.html","GOBP_POLYSACCHARIDE_BIOSYNTHETIC_PROCESS")</f>
        <v>GOBP_POLYSACCHARIDE_BIOSYNTHETIC_PROCESS</v>
      </c>
      <c r="C3956" s="4">
        <v>65</v>
      </c>
      <c r="D3956" s="3">
        <v>0.85634319999999997</v>
      </c>
      <c r="E3956" s="1">
        <v>0.73617690000000002</v>
      </c>
      <c r="F3956" s="2">
        <v>0.8331636</v>
      </c>
    </row>
    <row r="3957" spans="1:6" x14ac:dyDescent="0.25">
      <c r="A3957" t="s">
        <v>8</v>
      </c>
      <c r="B3957" s="5" t="str">
        <f>HYPERLINK("http://www.broadinstitute.org/gsea/msigdb/cards/GOMF_MANNOSYLTRANSFERASE_ACTIVITY.html","GOMF_MANNOSYLTRANSFERASE_ACTIVITY")</f>
        <v>GOMF_MANNOSYLTRANSFERASE_ACTIVITY</v>
      </c>
      <c r="C3957" s="4">
        <v>24</v>
      </c>
      <c r="D3957" s="3">
        <v>0.85599535999999998</v>
      </c>
      <c r="E3957" s="1">
        <v>0.68706290000000003</v>
      </c>
      <c r="F3957" s="2">
        <v>0.83369159999999998</v>
      </c>
    </row>
    <row r="3958" spans="1:6" x14ac:dyDescent="0.25">
      <c r="A3958" t="s">
        <v>6</v>
      </c>
      <c r="B3958" s="5" t="str">
        <f>HYPERLINK("http://www.broadinstitute.org/gsea/msigdb/cards/GOBP_NEGATIVE_REGULATION_OF_MRNA_CATABOLIC_PROCESS.html","GOBP_NEGATIVE_REGULATION_OF_MRNA_CATABOLIC_PROCESS")</f>
        <v>GOBP_NEGATIVE_REGULATION_OF_MRNA_CATABOLIC_PROCESS</v>
      </c>
      <c r="C3958" s="4">
        <v>71</v>
      </c>
      <c r="D3958" s="3">
        <v>0.85598450000000004</v>
      </c>
      <c r="E3958" s="1">
        <v>0.75039</v>
      </c>
      <c r="F3958" s="2">
        <v>0.83350519999999995</v>
      </c>
    </row>
    <row r="3959" spans="1:6" x14ac:dyDescent="0.25">
      <c r="A3959" t="s">
        <v>7</v>
      </c>
      <c r="B3959" s="5" t="str">
        <f>HYPERLINK("http://www.broadinstitute.org/gsea/msigdb/cards/GOCC_SITE_OF_POLARIZED_GROWTH.html","GOCC_SITE_OF_POLARIZED_GROWTH")</f>
        <v>GOCC_SITE_OF_POLARIZED_GROWTH</v>
      </c>
      <c r="C3959" s="4">
        <v>219</v>
      </c>
      <c r="D3959" s="3">
        <v>0.85504884000000003</v>
      </c>
      <c r="E3959" s="1">
        <v>0.85</v>
      </c>
      <c r="F3959" s="2">
        <v>0.83524233000000003</v>
      </c>
    </row>
    <row r="3960" spans="1:6" x14ac:dyDescent="0.25">
      <c r="A3960" t="s">
        <v>6</v>
      </c>
      <c r="B3960" s="5" t="str">
        <f>HYPERLINK("http://www.broadinstitute.org/gsea/msigdb/cards/GOBP_RESPONSE_TO_ACETYLCHOLINE.html","GOBP_RESPONSE_TO_ACETYLCHOLINE")</f>
        <v>GOBP_RESPONSE_TO_ACETYLCHOLINE</v>
      </c>
      <c r="C3960" s="4">
        <v>48</v>
      </c>
      <c r="D3960" s="3">
        <v>0.85491249999999996</v>
      </c>
      <c r="E3960" s="1">
        <v>0.72077924000000004</v>
      </c>
      <c r="F3960" s="2">
        <v>0.83531356000000001</v>
      </c>
    </row>
    <row r="3961" spans="1:6" x14ac:dyDescent="0.25">
      <c r="A3961" t="s">
        <v>6</v>
      </c>
      <c r="B3961" s="5" t="str">
        <f>HYPERLINK("http://www.broadinstitute.org/gsea/msigdb/cards/GOBP_DETECTION_OF_EXTERNAL_STIMULUS.html","GOBP_DETECTION_OF_EXTERNAL_STIMULUS")</f>
        <v>GOBP_DETECTION_OF_EXTERNAL_STIMULUS</v>
      </c>
      <c r="C3961" s="4">
        <v>139</v>
      </c>
      <c r="D3961" s="3">
        <v>0.85405560000000003</v>
      </c>
      <c r="E3961" s="1">
        <v>0.79191619999999996</v>
      </c>
      <c r="F3961" s="2">
        <v>0.83689915999999998</v>
      </c>
    </row>
    <row r="3962" spans="1:6" x14ac:dyDescent="0.25">
      <c r="A3962" t="s">
        <v>6</v>
      </c>
      <c r="B3962" s="5" t="str">
        <f>HYPERLINK("http://www.broadinstitute.org/gsea/msigdb/cards/GOBP_SMOOTH_MUSCLE_CELL_APOPTOTIC_PROCESS.html","GOBP_SMOOTH_MUSCLE_CELL_APOPTOTIC_PROCESS")</f>
        <v>GOBP_SMOOTH_MUSCLE_CELL_APOPTOTIC_PROCESS</v>
      </c>
      <c r="C3962" s="4">
        <v>32</v>
      </c>
      <c r="D3962" s="3">
        <v>0.85376770000000002</v>
      </c>
      <c r="E3962" s="1">
        <v>0.70616882999999997</v>
      </c>
      <c r="F3962" s="2">
        <v>0.83726924999999996</v>
      </c>
    </row>
    <row r="3963" spans="1:6" x14ac:dyDescent="0.25">
      <c r="A3963" t="s">
        <v>6</v>
      </c>
      <c r="B3963" s="5" t="str">
        <f>HYPERLINK("http://www.broadinstitute.org/gsea/msigdb/cards/GOBP_VENTRICULAR_SEPTUM_MORPHOGENESIS.html","GOBP_VENTRICULAR_SEPTUM_MORPHOGENESIS")</f>
        <v>GOBP_VENTRICULAR_SEPTUM_MORPHOGENESIS</v>
      </c>
      <c r="C3963" s="4">
        <v>46</v>
      </c>
      <c r="D3963" s="3">
        <v>0.85372150000000002</v>
      </c>
      <c r="E3963" s="1">
        <v>0.71241829999999995</v>
      </c>
      <c r="F3963" s="2">
        <v>0.83714485000000005</v>
      </c>
    </row>
    <row r="3964" spans="1:6" x14ac:dyDescent="0.25">
      <c r="A3964" t="s">
        <v>6</v>
      </c>
      <c r="B3964" s="5" t="str">
        <f>HYPERLINK("http://www.broadinstitute.org/gsea/msigdb/cards/GOBP_PRESYNAPTIC_ENDOCYTOSIS.html","GOBP_PRESYNAPTIC_ENDOCYTOSIS")</f>
        <v>GOBP_PRESYNAPTIC_ENDOCYTOSIS</v>
      </c>
      <c r="C3964" s="4">
        <v>80</v>
      </c>
      <c r="D3964" s="3">
        <v>0.85368790000000006</v>
      </c>
      <c r="E3964" s="1">
        <v>0.7719298</v>
      </c>
      <c r="F3964" s="2">
        <v>0.83700370000000002</v>
      </c>
    </row>
    <row r="3965" spans="1:6" x14ac:dyDescent="0.25">
      <c r="A3965" t="s">
        <v>6</v>
      </c>
      <c r="B3965" s="5" t="str">
        <f>HYPERLINK("http://www.broadinstitute.org/gsea/msigdb/cards/GOBP_PROTEIN_KINASE_A_SIGNALING.html","GOBP_PROTEIN_KINASE_A_SIGNALING")</f>
        <v>GOBP_PROTEIN_KINASE_A_SIGNALING</v>
      </c>
      <c r="C3965" s="4">
        <v>40</v>
      </c>
      <c r="D3965" s="3">
        <v>0.85363049999999996</v>
      </c>
      <c r="E3965" s="1">
        <v>0.71472864999999997</v>
      </c>
      <c r="F3965" s="2">
        <v>0.83691114</v>
      </c>
    </row>
    <row r="3966" spans="1:6" x14ac:dyDescent="0.25">
      <c r="A3966" t="s">
        <v>6</v>
      </c>
      <c r="B3966" s="5" t="str">
        <f>HYPERLINK("http://www.broadinstitute.org/gsea/msigdb/cards/GOBP_REGULATION_OF_POLYSACCHARIDE_METABOLIC_PROCESS.html","GOBP_REGULATION_OF_POLYSACCHARIDE_METABOLIC_PROCESS")</f>
        <v>GOBP_REGULATION_OF_POLYSACCHARIDE_METABOLIC_PROCESS</v>
      </c>
      <c r="C3966" s="4">
        <v>46</v>
      </c>
      <c r="D3966" s="3">
        <v>0.85358100000000003</v>
      </c>
      <c r="E3966" s="1">
        <v>0.71175520000000003</v>
      </c>
      <c r="F3966" s="2">
        <v>0.8368025</v>
      </c>
    </row>
    <row r="3967" spans="1:6" x14ac:dyDescent="0.25">
      <c r="A3967" t="s">
        <v>6</v>
      </c>
      <c r="B3967" s="5" t="str">
        <f>HYPERLINK("http://www.broadinstitute.org/gsea/msigdb/cards/GOBP_AXONAL_FASCICULATION.html","GOBP_AXONAL_FASCICULATION")</f>
        <v>GOBP_AXONAL_FASCICULATION</v>
      </c>
      <c r="C3967" s="4">
        <v>24</v>
      </c>
      <c r="D3967" s="3">
        <v>0.85344249999999999</v>
      </c>
      <c r="E3967" s="1">
        <v>0.67130434999999999</v>
      </c>
      <c r="F3967" s="2">
        <v>0.83689009999999997</v>
      </c>
    </row>
    <row r="3968" spans="1:6" x14ac:dyDescent="0.25">
      <c r="A3968" t="s">
        <v>6</v>
      </c>
      <c r="B3968" s="5" t="str">
        <f>HYPERLINK("http://www.broadinstitute.org/gsea/msigdb/cards/GOBP_POSITIVE_REGULATION_OF_OLIGODENDROCYTE_DIFFERENTIATION.html","GOBP_POSITIVE_REGULATION_OF_OLIGODENDROCYTE_DIFFERENTIATION")</f>
        <v>GOBP_POSITIVE_REGULATION_OF_OLIGODENDROCYTE_DIFFERENTIATION</v>
      </c>
      <c r="C3968" s="4">
        <v>31</v>
      </c>
      <c r="D3968" s="3">
        <v>0.85299899999999995</v>
      </c>
      <c r="E3968" s="1">
        <v>0.71166664000000002</v>
      </c>
      <c r="F3968" s="2">
        <v>0.83758829999999995</v>
      </c>
    </row>
    <row r="3969" spans="1:6" x14ac:dyDescent="0.25">
      <c r="A3969" t="s">
        <v>6</v>
      </c>
      <c r="B3969" s="5" t="str">
        <f>HYPERLINK("http://www.broadinstitute.org/gsea/msigdb/cards/GOBP_MITOTIC_DNA_REPLICATION.html","GOBP_MITOTIC_DNA_REPLICATION")</f>
        <v>GOBP_MITOTIC_DNA_REPLICATION</v>
      </c>
      <c r="C3969" s="4">
        <v>16</v>
      </c>
      <c r="D3969" s="3">
        <v>0.85299360000000002</v>
      </c>
      <c r="E3969" s="1">
        <v>0.66258740000000005</v>
      </c>
      <c r="F3969" s="2">
        <v>0.83738667</v>
      </c>
    </row>
    <row r="3970" spans="1:6" x14ac:dyDescent="0.25">
      <c r="A3970" t="s">
        <v>10</v>
      </c>
      <c r="B3970" s="5" t="str">
        <f>HYPERLINK("http://www.broadinstitute.org/gsea/msigdb/cards/REACTOME_HS_GAG_BIOSYNTHESIS.html","REACTOME_HS_GAG_BIOSYNTHESIS")</f>
        <v>REACTOME_HS_GAG_BIOSYNTHESIS</v>
      </c>
      <c r="C3970" s="4">
        <v>29</v>
      </c>
      <c r="D3970" s="3">
        <v>0.85293830000000004</v>
      </c>
      <c r="E3970" s="1">
        <v>0.69948184000000002</v>
      </c>
      <c r="F3970" s="2">
        <v>0.83728709999999995</v>
      </c>
    </row>
    <row r="3971" spans="1:6" x14ac:dyDescent="0.25">
      <c r="A3971" t="s">
        <v>6</v>
      </c>
      <c r="B3971" s="5" t="str">
        <f>HYPERLINK("http://www.broadinstitute.org/gsea/msigdb/cards/GOBP_NEGATIVE_REGULATION_OF_CELL_FATE_COMMITMENT.html","GOBP_NEGATIVE_REGULATION_OF_CELL_FATE_COMMITMENT")</f>
        <v>GOBP_NEGATIVE_REGULATION_OF_CELL_FATE_COMMITMENT</v>
      </c>
      <c r="C3971" s="4">
        <v>15</v>
      </c>
      <c r="D3971" s="3">
        <v>0.85243449999999998</v>
      </c>
      <c r="E3971" s="1">
        <v>0.65748709999999999</v>
      </c>
      <c r="F3971" s="2">
        <v>0.83811813999999996</v>
      </c>
    </row>
    <row r="3972" spans="1:6" x14ac:dyDescent="0.25">
      <c r="A3972" t="s">
        <v>8</v>
      </c>
      <c r="B3972" s="5" t="str">
        <f>HYPERLINK("http://www.broadinstitute.org/gsea/msigdb/cards/GOMF_LAMIN_BINDING.html","GOMF_LAMIN_BINDING")</f>
        <v>GOMF_LAMIN_BINDING</v>
      </c>
      <c r="C3972" s="4">
        <v>16</v>
      </c>
      <c r="D3972" s="3">
        <v>0.85226369999999996</v>
      </c>
      <c r="E3972" s="1">
        <v>0.66086953999999998</v>
      </c>
      <c r="F3972" s="2">
        <v>0.8382655</v>
      </c>
    </row>
    <row r="3973" spans="1:6" x14ac:dyDescent="0.25">
      <c r="A3973" t="s">
        <v>6</v>
      </c>
      <c r="B3973" s="5" t="str">
        <f>HYPERLINK("http://www.broadinstitute.org/gsea/msigdb/cards/GOBP_TRABECULA_FORMATION.html","GOBP_TRABECULA_FORMATION")</f>
        <v>GOBP_TRABECULA_FORMATION</v>
      </c>
      <c r="C3973" s="4">
        <v>28</v>
      </c>
      <c r="D3973" s="3">
        <v>0.85149750000000002</v>
      </c>
      <c r="E3973" s="1">
        <v>0.70909089999999997</v>
      </c>
      <c r="F3973" s="2">
        <v>0.83962170000000003</v>
      </c>
    </row>
    <row r="3974" spans="1:6" x14ac:dyDescent="0.25">
      <c r="A3974" t="s">
        <v>6</v>
      </c>
      <c r="B3974" s="5" t="str">
        <f>HYPERLINK("http://www.broadinstitute.org/gsea/msigdb/cards/GOBP_REGULATION_OF_CENTROSOME_CYCLE.html","GOBP_REGULATION_OF_CENTROSOME_CYCLE")</f>
        <v>GOBP_REGULATION_OF_CENTROSOME_CYCLE</v>
      </c>
      <c r="C3974" s="4">
        <v>56</v>
      </c>
      <c r="D3974" s="3">
        <v>0.85132646999999995</v>
      </c>
      <c r="E3974" s="1">
        <v>0.72343749999999996</v>
      </c>
      <c r="F3974" s="2">
        <v>0.83976300000000004</v>
      </c>
    </row>
    <row r="3975" spans="1:6" x14ac:dyDescent="0.25">
      <c r="A3975" t="s">
        <v>6</v>
      </c>
      <c r="B3975" s="5" t="str">
        <f>HYPERLINK("http://www.broadinstitute.org/gsea/msigdb/cards/GOBP_GLYCOLIPID_BIOSYNTHETIC_PROCESS.html","GOBP_GLYCOLIPID_BIOSYNTHETIC_PROCESS")</f>
        <v>GOBP_GLYCOLIPID_BIOSYNTHETIC_PROCESS</v>
      </c>
      <c r="C3975" s="4">
        <v>67</v>
      </c>
      <c r="D3975" s="3">
        <v>0.8512189</v>
      </c>
      <c r="E3975" s="1">
        <v>0.73311895000000005</v>
      </c>
      <c r="F3975" s="2">
        <v>0.83977204999999999</v>
      </c>
    </row>
    <row r="3976" spans="1:6" x14ac:dyDescent="0.25">
      <c r="A3976" t="s">
        <v>10</v>
      </c>
      <c r="B3976" s="5" t="str">
        <f>HYPERLINK("http://www.broadinstitute.org/gsea/msigdb/cards/REACTOME_REGULATION_OF_HSF1_MEDIATED_HEAT_SHOCK_RESPONSE.html","REACTOME_REGULATION_OF_HSF1_MEDIATED_HEAT_SHOCK_RESPONSE")</f>
        <v>REACTOME_REGULATION_OF_HSF1_MEDIATED_HEAT_SHOCK_RESPONSE</v>
      </c>
      <c r="C3976" s="4">
        <v>63</v>
      </c>
      <c r="D3976" s="3">
        <v>0.85118199999999999</v>
      </c>
      <c r="E3976" s="1">
        <v>0.73058635000000005</v>
      </c>
      <c r="F3976" s="2">
        <v>0.83963980000000005</v>
      </c>
    </row>
    <row r="3977" spans="1:6" x14ac:dyDescent="0.25">
      <c r="A3977" t="s">
        <v>6</v>
      </c>
      <c r="B3977" s="5" t="str">
        <f>HYPERLINK("http://www.broadinstitute.org/gsea/msigdb/cards/GOBP_OOGENESIS.html","GOBP_OOGENESIS")</f>
        <v>GOBP_OOGENESIS</v>
      </c>
      <c r="C3977" s="4">
        <v>118</v>
      </c>
      <c r="D3977" s="3">
        <v>0.85083819999999999</v>
      </c>
      <c r="E3977" s="1">
        <v>0.80451125000000001</v>
      </c>
      <c r="F3977" s="2">
        <v>0.84013872999999994</v>
      </c>
    </row>
    <row r="3978" spans="1:6" x14ac:dyDescent="0.25">
      <c r="A3978" t="s">
        <v>6</v>
      </c>
      <c r="B3978" s="5" t="str">
        <f>HYPERLINK("http://www.broadinstitute.org/gsea/msigdb/cards/GOBP_PIGMENT_METABOLIC_PROCESS.html","GOBP_PIGMENT_METABOLIC_PROCESS")</f>
        <v>GOBP_PIGMENT_METABOLIC_PROCESS</v>
      </c>
      <c r="C3978" s="4">
        <v>68</v>
      </c>
      <c r="D3978" s="3">
        <v>0.85032845000000001</v>
      </c>
      <c r="E3978" s="1">
        <v>0.75937500000000002</v>
      </c>
      <c r="F3978" s="2">
        <v>0.84096307000000003</v>
      </c>
    </row>
    <row r="3979" spans="1:6" x14ac:dyDescent="0.25">
      <c r="A3979" t="s">
        <v>6</v>
      </c>
      <c r="B3979" s="5" t="str">
        <f>HYPERLINK("http://www.broadinstitute.org/gsea/msigdb/cards/GOBP_CARDIAC_NEURAL_CREST_CELL_DEVELOPMENT_INVOLVED_IN_OUTFLOW_TRACT_MORPHOGENESIS.html","GOBP_CARDIAC_NEURAL_CREST_CELL_DEVELOPMENT_INVOLVED_IN_OUTFLOW_TRACT_MORPHOGENESIS")</f>
        <v>GOBP_CARDIAC_NEURAL_CREST_CELL_DEVELOPMENT_INVOLVED_IN_OUTFLOW_TRACT_MORPHOGENESIS</v>
      </c>
      <c r="C3979" s="4">
        <v>15</v>
      </c>
      <c r="D3979" s="3">
        <v>0.85029315999999999</v>
      </c>
      <c r="E3979" s="1">
        <v>0.67010309999999995</v>
      </c>
      <c r="F3979" s="2">
        <v>0.84082270000000003</v>
      </c>
    </row>
    <row r="3980" spans="1:6" x14ac:dyDescent="0.25">
      <c r="A3980" t="s">
        <v>6</v>
      </c>
      <c r="B3980" s="5" t="str">
        <f>HYPERLINK("http://www.broadinstitute.org/gsea/msigdb/cards/GOBP_LONG_TERM_SYNAPTIC_POTENTIATION.html","GOBP_LONG_TERM_SYNAPTIC_POTENTIATION")</f>
        <v>GOBP_LONG_TERM_SYNAPTIC_POTENTIATION</v>
      </c>
      <c r="C3980" s="4">
        <v>114</v>
      </c>
      <c r="D3980" s="3">
        <v>0.84967110000000001</v>
      </c>
      <c r="E3980" s="1">
        <v>0.78816200000000003</v>
      </c>
      <c r="F3980" s="2">
        <v>0.84188960000000002</v>
      </c>
    </row>
    <row r="3981" spans="1:6" x14ac:dyDescent="0.25">
      <c r="A3981" t="s">
        <v>6</v>
      </c>
      <c r="B3981" s="5" t="str">
        <f>HYPERLINK("http://www.broadinstitute.org/gsea/msigdb/cards/GOBP_PROTEIN_EXPORT_FROM_NUCLEUS.html","GOBP_PROTEIN_EXPORT_FROM_NUCLEUS")</f>
        <v>GOBP_PROTEIN_EXPORT_FROM_NUCLEUS</v>
      </c>
      <c r="C3981" s="4">
        <v>66</v>
      </c>
      <c r="D3981" s="3">
        <v>0.84940815000000003</v>
      </c>
      <c r="E3981" s="1">
        <v>0.75318474000000002</v>
      </c>
      <c r="F3981" s="2">
        <v>0.84219770000000005</v>
      </c>
    </row>
    <row r="3982" spans="1:6" x14ac:dyDescent="0.25">
      <c r="A3982" t="s">
        <v>6</v>
      </c>
      <c r="B3982" s="5" t="str">
        <f>HYPERLINK("http://www.broadinstitute.org/gsea/msigdb/cards/GOBP_SYNAPTIC_TRANSMISSION_GLUTAMATERGIC.html","GOBP_SYNAPTIC_TRANSMISSION_GLUTAMATERGIC")</f>
        <v>GOBP_SYNAPTIC_TRANSMISSION_GLUTAMATERGIC</v>
      </c>
      <c r="C3982" s="4">
        <v>128</v>
      </c>
      <c r="D3982" s="3">
        <v>0.84919299999999998</v>
      </c>
      <c r="E3982" s="1">
        <v>0.81395346000000002</v>
      </c>
      <c r="F3982" s="2">
        <v>0.84241500000000002</v>
      </c>
    </row>
    <row r="3983" spans="1:6" x14ac:dyDescent="0.25">
      <c r="A3983" t="s">
        <v>6</v>
      </c>
      <c r="B3983" s="5" t="str">
        <f>HYPERLINK("http://www.broadinstitute.org/gsea/msigdb/cards/GOBP_PARENTAL_BEHAVIOR.html","GOBP_PARENTAL_BEHAVIOR")</f>
        <v>GOBP_PARENTAL_BEHAVIOR</v>
      </c>
      <c r="C3983" s="4">
        <v>16</v>
      </c>
      <c r="D3983" s="3">
        <v>0.84869360000000005</v>
      </c>
      <c r="E3983" s="1">
        <v>0.70194005999999998</v>
      </c>
      <c r="F3983" s="2">
        <v>0.84320503000000002</v>
      </c>
    </row>
    <row r="3984" spans="1:6" x14ac:dyDescent="0.25">
      <c r="A3984" t="s">
        <v>6</v>
      </c>
      <c r="B3984" s="5" t="str">
        <f>HYPERLINK("http://www.broadinstitute.org/gsea/msigdb/cards/GOBP_MONOSACCHARIDE_CATABOLIC_PROCESS.html","GOBP_MONOSACCHARIDE_CATABOLIC_PROCESS")</f>
        <v>GOBP_MONOSACCHARIDE_CATABOLIC_PROCESS</v>
      </c>
      <c r="C3984" s="4">
        <v>45</v>
      </c>
      <c r="D3984" s="3">
        <v>0.84834580000000004</v>
      </c>
      <c r="E3984" s="1">
        <v>0.71974519999999997</v>
      </c>
      <c r="F3984" s="2">
        <v>0.84370595000000004</v>
      </c>
    </row>
    <row r="3985" spans="1:6" x14ac:dyDescent="0.25">
      <c r="A3985" t="s">
        <v>6</v>
      </c>
      <c r="B3985" s="5" t="str">
        <f>HYPERLINK("http://www.broadinstitute.org/gsea/msigdb/cards/GOBP_POSITIVE_REGULATION_OF_TRANSCRIPTION_BY_RNA_POLYMERASE_I.html","GOBP_POSITIVE_REGULATION_OF_TRANSCRIPTION_BY_RNA_POLYMERASE_I")</f>
        <v>GOBP_POSITIVE_REGULATION_OF_TRANSCRIPTION_BY_RNA_POLYMERASE_I</v>
      </c>
      <c r="C3985" s="4">
        <v>34</v>
      </c>
      <c r="D3985" s="3">
        <v>0.84818179999999999</v>
      </c>
      <c r="E3985" s="1">
        <v>0.71043769999999995</v>
      </c>
      <c r="F3985" s="2">
        <v>0.84382170000000001</v>
      </c>
    </row>
    <row r="3986" spans="1:6" x14ac:dyDescent="0.25">
      <c r="A3986" t="s">
        <v>11</v>
      </c>
      <c r="B3986" s="5" t="str">
        <f>HYPERLINK("http://www.broadinstitute.org/gsea/msigdb/cards/WP_BMP_SIGNALING_PATHWAY_IN_EYELID_DEVELOPMENT.html","WP_BMP_SIGNALING_PATHWAY_IN_EYELID_DEVELOPMENT")</f>
        <v>WP_BMP_SIGNALING_PATHWAY_IN_EYELID_DEVELOPMENT</v>
      </c>
      <c r="C3986" s="4">
        <v>20</v>
      </c>
      <c r="D3986" s="3">
        <v>0.84769576999999996</v>
      </c>
      <c r="E3986" s="1">
        <v>0.67934779999999995</v>
      </c>
      <c r="F3986" s="2">
        <v>0.84458929999999999</v>
      </c>
    </row>
    <row r="3987" spans="1:6" x14ac:dyDescent="0.25">
      <c r="A3987" t="s">
        <v>6</v>
      </c>
      <c r="B3987" s="5" t="str">
        <f>HYPERLINK("http://www.broadinstitute.org/gsea/msigdb/cards/GOBP_DORSAL_VENTRAL_PATTERN_FORMATION.html","GOBP_DORSAL_VENTRAL_PATTERN_FORMATION")</f>
        <v>GOBP_DORSAL_VENTRAL_PATTERN_FORMATION</v>
      </c>
      <c r="C3987" s="4">
        <v>108</v>
      </c>
      <c r="D3987" s="3">
        <v>0.84702854999999999</v>
      </c>
      <c r="E3987" s="1">
        <v>0.78615385000000004</v>
      </c>
      <c r="F3987" s="2">
        <v>0.84572970000000003</v>
      </c>
    </row>
    <row r="3988" spans="1:6" x14ac:dyDescent="0.25">
      <c r="A3988" t="s">
        <v>6</v>
      </c>
      <c r="B3988" s="5" t="str">
        <f>HYPERLINK("http://www.broadinstitute.org/gsea/msigdb/cards/GOBP_POSITIVE_REGULATION_OF_PROTEASOMAL_UBIQUITIN_DEPENDENT_PROTEIN_CATABOLIC_PROCESS.html","GOBP_POSITIVE_REGULATION_OF_PROTEASOMAL_UBIQUITIN_DEPENDENT_PROTEIN_CATABOLIC_PROCESS")</f>
        <v>GOBP_POSITIVE_REGULATION_OF_PROTEASOMAL_UBIQUITIN_DEPENDENT_PROTEIN_CATABOLIC_PROCESS</v>
      </c>
      <c r="C3988" s="4">
        <v>91</v>
      </c>
      <c r="D3988" s="3">
        <v>0.84660729999999995</v>
      </c>
      <c r="E3988" s="1">
        <v>0.77761190000000002</v>
      </c>
      <c r="F3988" s="2">
        <v>0.84636840000000002</v>
      </c>
    </row>
    <row r="3989" spans="1:6" x14ac:dyDescent="0.25">
      <c r="A3989" t="s">
        <v>6</v>
      </c>
      <c r="B3989" s="5" t="str">
        <f>HYPERLINK("http://www.broadinstitute.org/gsea/msigdb/cards/GOBP_POSITIVE_REGULATION_OF_SMOOTHENED_SIGNALING_PATHWAY.html","GOBP_POSITIVE_REGULATION_OF_SMOOTHENED_SIGNALING_PATHWAY")</f>
        <v>GOBP_POSITIVE_REGULATION_OF_SMOOTHENED_SIGNALING_PATHWAY</v>
      </c>
      <c r="C3989" s="4">
        <v>45</v>
      </c>
      <c r="D3989" s="3">
        <v>0.84635943000000002</v>
      </c>
      <c r="E3989" s="1">
        <v>0.72</v>
      </c>
      <c r="F3989" s="2">
        <v>0.84668164999999995</v>
      </c>
    </row>
    <row r="3990" spans="1:6" x14ac:dyDescent="0.25">
      <c r="A3990" t="s">
        <v>8</v>
      </c>
      <c r="B3990" s="5" t="str">
        <f>HYPERLINK("http://www.broadinstitute.org/gsea/msigdb/cards/GOMF_2_OXOGLUTARATE_DEPENDENT_DIOXYGENASE_ACTIVITY.html","GOMF_2_OXOGLUTARATE_DEPENDENT_DIOXYGENASE_ACTIVITY")</f>
        <v>GOMF_2_OXOGLUTARATE_DEPENDENT_DIOXYGENASE_ACTIVITY</v>
      </c>
      <c r="C3990" s="4">
        <v>61</v>
      </c>
      <c r="D3990" s="3">
        <v>0.84600500000000001</v>
      </c>
      <c r="E3990" s="1">
        <v>0.74794070000000001</v>
      </c>
      <c r="F3990" s="2">
        <v>0.84719100000000003</v>
      </c>
    </row>
    <row r="3991" spans="1:6" x14ac:dyDescent="0.25">
      <c r="A3991" t="s">
        <v>6</v>
      </c>
      <c r="B3991" s="5" t="str">
        <f>HYPERLINK("http://www.broadinstitute.org/gsea/msigdb/cards/GOBP_NEGATIVE_REGULATION_OF_MEMBRANE_PERMEABILITY.html","GOBP_NEGATIVE_REGULATION_OF_MEMBRANE_PERMEABILITY")</f>
        <v>GOBP_NEGATIVE_REGULATION_OF_MEMBRANE_PERMEABILITY</v>
      </c>
      <c r="C3991" s="4">
        <v>22</v>
      </c>
      <c r="D3991" s="3">
        <v>0.84593105000000002</v>
      </c>
      <c r="E3991" s="1">
        <v>0.69686409999999999</v>
      </c>
      <c r="F3991" s="2">
        <v>0.84712419999999999</v>
      </c>
    </row>
    <row r="3992" spans="1:6" x14ac:dyDescent="0.25">
      <c r="A3992" t="s">
        <v>6</v>
      </c>
      <c r="B3992" s="5" t="str">
        <f>HYPERLINK("http://www.broadinstitute.org/gsea/msigdb/cards/GOBP_REGULATION_OF_PROTON_TRANSPORT.html","GOBP_REGULATION_OF_PROTON_TRANSPORT")</f>
        <v>GOBP_REGULATION_OF_PROTON_TRANSPORT</v>
      </c>
      <c r="C3992" s="4">
        <v>31</v>
      </c>
      <c r="D3992" s="3">
        <v>0.84511289999999994</v>
      </c>
      <c r="E3992" s="1">
        <v>0.70881859999999997</v>
      </c>
      <c r="F3992" s="2">
        <v>0.84853299999999998</v>
      </c>
    </row>
    <row r="3993" spans="1:6" x14ac:dyDescent="0.25">
      <c r="A3993" t="s">
        <v>6</v>
      </c>
      <c r="B3993" s="5" t="str">
        <f>HYPERLINK("http://www.broadinstitute.org/gsea/msigdb/cards/GOBP_NEGATIVE_REGULATION_OF_ALPHA_BETA_T_CELL_DIFFERENTIATION.html","GOBP_NEGATIVE_REGULATION_OF_ALPHA_BETA_T_CELL_DIFFERENTIATION")</f>
        <v>GOBP_NEGATIVE_REGULATION_OF_ALPHA_BETA_T_CELL_DIFFERENTIATION</v>
      </c>
      <c r="C3993" s="4">
        <v>30</v>
      </c>
      <c r="D3993" s="3">
        <v>0.84446394000000002</v>
      </c>
      <c r="E3993" s="1">
        <v>0.72053873999999996</v>
      </c>
      <c r="F3993" s="2">
        <v>0.84963690000000003</v>
      </c>
    </row>
    <row r="3994" spans="1:6" x14ac:dyDescent="0.25">
      <c r="A3994" t="s">
        <v>8</v>
      </c>
      <c r="B3994" s="5" t="str">
        <f>HYPERLINK("http://www.broadinstitute.org/gsea/msigdb/cards/GOMF_ACTININ_BINDING.html","GOMF_ACTININ_BINDING")</f>
        <v>GOMF_ACTININ_BINDING</v>
      </c>
      <c r="C3994" s="4">
        <v>39</v>
      </c>
      <c r="D3994" s="3">
        <v>0.84444903999999998</v>
      </c>
      <c r="E3994" s="1">
        <v>0.71875</v>
      </c>
      <c r="F3994" s="2">
        <v>0.84945230000000005</v>
      </c>
    </row>
    <row r="3995" spans="1:6" x14ac:dyDescent="0.25">
      <c r="A3995" t="s">
        <v>6</v>
      </c>
      <c r="B3995" s="5" t="str">
        <f>HYPERLINK("http://www.broadinstitute.org/gsea/msigdb/cards/GOBP_POSITIVE_REGULATION_OF_VIRAL_GENOME_REPLICATION.html","GOBP_POSITIVE_REGULATION_OF_VIRAL_GENOME_REPLICATION")</f>
        <v>GOBP_POSITIVE_REGULATION_OF_VIRAL_GENOME_REPLICATION</v>
      </c>
      <c r="C3995" s="4">
        <v>29</v>
      </c>
      <c r="D3995" s="3">
        <v>0.84389930000000002</v>
      </c>
      <c r="E3995" s="1">
        <v>0.70439189999999996</v>
      </c>
      <c r="F3995" s="2">
        <v>0.85034907000000004</v>
      </c>
    </row>
    <row r="3996" spans="1:6" x14ac:dyDescent="0.25">
      <c r="A3996" t="s">
        <v>6</v>
      </c>
      <c r="B3996" s="5" t="str">
        <f>HYPERLINK("http://www.broadinstitute.org/gsea/msigdb/cards/GOBP_FEMALE_GENITALIA_DEVELOPMENT.html","GOBP_FEMALE_GENITALIA_DEVELOPMENT")</f>
        <v>GOBP_FEMALE_GENITALIA_DEVELOPMENT</v>
      </c>
      <c r="C3996" s="4">
        <v>17</v>
      </c>
      <c r="D3996" s="3">
        <v>0.8429432</v>
      </c>
      <c r="E3996" s="1">
        <v>0.68395459999999997</v>
      </c>
      <c r="F3996" s="2">
        <v>0.8520451</v>
      </c>
    </row>
    <row r="3997" spans="1:6" x14ac:dyDescent="0.25">
      <c r="A3997" t="s">
        <v>6</v>
      </c>
      <c r="B3997" s="5" t="str">
        <f>HYPERLINK("http://www.broadinstitute.org/gsea/msigdb/cards/GOBP_POSTSYNAPTIC_DENSITY_ORGANIZATION.html","GOBP_POSTSYNAPTIC_DENSITY_ORGANIZATION")</f>
        <v>GOBP_POSTSYNAPTIC_DENSITY_ORGANIZATION</v>
      </c>
      <c r="C3997" s="4">
        <v>45</v>
      </c>
      <c r="D3997" s="3">
        <v>0.84257890000000002</v>
      </c>
      <c r="E3997" s="1">
        <v>0.7429519</v>
      </c>
      <c r="F3997" s="2">
        <v>0.85255349999999996</v>
      </c>
    </row>
    <row r="3998" spans="1:6" x14ac:dyDescent="0.25">
      <c r="A3998" t="s">
        <v>8</v>
      </c>
      <c r="B3998" s="5" t="str">
        <f>HYPERLINK("http://www.broadinstitute.org/gsea/msigdb/cards/GOMF_DEUBIQUITINASE_ACTIVITY.html","GOMF_DEUBIQUITINASE_ACTIVITY")</f>
        <v>GOMF_DEUBIQUITINASE_ACTIVITY</v>
      </c>
      <c r="C3998" s="4">
        <v>90</v>
      </c>
      <c r="D3998" s="3">
        <v>0.84237629999999997</v>
      </c>
      <c r="E3998" s="1">
        <v>0.79555553000000001</v>
      </c>
      <c r="F3998" s="2">
        <v>0.85273485999999998</v>
      </c>
    </row>
    <row r="3999" spans="1:6" x14ac:dyDescent="0.25">
      <c r="A3999" t="s">
        <v>6</v>
      </c>
      <c r="B3999" s="5" t="str">
        <f>HYPERLINK("http://www.broadinstitute.org/gsea/msigdb/cards/GOBP_CARDIAC_VASCULAR_SMOOTH_MUSCLE_CELL_DIFFERENTIATION.html","GOBP_CARDIAC_VASCULAR_SMOOTH_MUSCLE_CELL_DIFFERENTIATION")</f>
        <v>GOBP_CARDIAC_VASCULAR_SMOOTH_MUSCLE_CELL_DIFFERENTIATION</v>
      </c>
      <c r="C3999" s="4">
        <v>15</v>
      </c>
      <c r="D3999" s="3">
        <v>0.84137079999999997</v>
      </c>
      <c r="E3999" s="1">
        <v>0.66211604999999996</v>
      </c>
      <c r="F3999" s="2">
        <v>0.85447437000000004</v>
      </c>
    </row>
    <row r="4000" spans="1:6" x14ac:dyDescent="0.25">
      <c r="A4000" t="s">
        <v>6</v>
      </c>
      <c r="B4000" s="5" t="str">
        <f>HYPERLINK("http://www.broadinstitute.org/gsea/msigdb/cards/GOBP_SERINE_PHOSPHORYLATION_OF_STAT_PROTEIN.html","GOBP_SERINE_PHOSPHORYLATION_OF_STAT_PROTEIN")</f>
        <v>GOBP_SERINE_PHOSPHORYLATION_OF_STAT_PROTEIN</v>
      </c>
      <c r="C4000" s="4">
        <v>17</v>
      </c>
      <c r="D4000" s="3">
        <v>0.84135585999999996</v>
      </c>
      <c r="E4000" s="1">
        <v>0.68181820000000004</v>
      </c>
      <c r="F4000" s="2">
        <v>0.85429454000000005</v>
      </c>
    </row>
    <row r="4001" spans="1:6" x14ac:dyDescent="0.25">
      <c r="A4001" t="s">
        <v>6</v>
      </c>
      <c r="B4001" s="5" t="str">
        <f>HYPERLINK("http://www.broadinstitute.org/gsea/msigdb/cards/GOBP_OUTFLOW_TRACT_SEPTUM_MORPHOGENESIS.html","GOBP_OUTFLOW_TRACT_SEPTUM_MORPHOGENESIS")</f>
        <v>GOBP_OUTFLOW_TRACT_SEPTUM_MORPHOGENESIS</v>
      </c>
      <c r="C4001" s="4">
        <v>27</v>
      </c>
      <c r="D4001" s="3">
        <v>0.84097489999999997</v>
      </c>
      <c r="E4001" s="1">
        <v>0.70118844999999996</v>
      </c>
      <c r="F4001" s="2">
        <v>0.85484265999999998</v>
      </c>
    </row>
    <row r="4002" spans="1:6" x14ac:dyDescent="0.25">
      <c r="A4002" t="s">
        <v>6</v>
      </c>
      <c r="B4002" s="5" t="str">
        <f>HYPERLINK("http://www.broadinstitute.org/gsea/msigdb/cards/GOBP_NEGATIVE_REGULATION_OF_SIGNAL_TRANSDUCTION_BY_P53_CLASS_MEDIATOR.html","GOBP_NEGATIVE_REGULATION_OF_SIGNAL_TRANSDUCTION_BY_P53_CLASS_MEDIATOR")</f>
        <v>GOBP_NEGATIVE_REGULATION_OF_SIGNAL_TRANSDUCTION_BY_P53_CLASS_MEDIATOR</v>
      </c>
      <c r="C4002" s="4">
        <v>33</v>
      </c>
      <c r="D4002" s="3">
        <v>0.84090370000000003</v>
      </c>
      <c r="E4002" s="1">
        <v>0.72711870000000001</v>
      </c>
      <c r="F4002" s="2">
        <v>0.85475712999999998</v>
      </c>
    </row>
    <row r="4003" spans="1:6" x14ac:dyDescent="0.25">
      <c r="A4003" t="s">
        <v>8</v>
      </c>
      <c r="B4003" s="5" t="str">
        <f>HYPERLINK("http://www.broadinstitute.org/gsea/msigdb/cards/GOMF_TRANSFERASE_ACTIVITY_TRANSFERRING_SULPHUR_CONTAINING_GROUPS.html","GOMF_TRANSFERASE_ACTIVITY_TRANSFERRING_SULPHUR_CONTAINING_GROUPS")</f>
        <v>GOMF_TRANSFERASE_ACTIVITY_TRANSFERRING_SULPHUR_CONTAINING_GROUPS</v>
      </c>
      <c r="C4003" s="4">
        <v>69</v>
      </c>
      <c r="D4003" s="3">
        <v>0.84006250000000005</v>
      </c>
      <c r="E4003" s="1">
        <v>0.76774189999999998</v>
      </c>
      <c r="F4003" s="2">
        <v>0.85617480000000001</v>
      </c>
    </row>
    <row r="4004" spans="1:6" x14ac:dyDescent="0.25">
      <c r="A4004" t="s">
        <v>6</v>
      </c>
      <c r="B4004" s="5" t="str">
        <f>HYPERLINK("http://www.broadinstitute.org/gsea/msigdb/cards/GOBP_NEUROBLAST_PROLIFERATION.html","GOBP_NEUROBLAST_PROLIFERATION")</f>
        <v>GOBP_NEUROBLAST_PROLIFERATION</v>
      </c>
      <c r="C4004" s="4">
        <v>96</v>
      </c>
      <c r="D4004" s="3">
        <v>0.84001552999999995</v>
      </c>
      <c r="E4004" s="1">
        <v>0.78637769999999996</v>
      </c>
      <c r="F4004" s="2">
        <v>0.85605679999999995</v>
      </c>
    </row>
    <row r="4005" spans="1:6" x14ac:dyDescent="0.25">
      <c r="A4005" t="s">
        <v>6</v>
      </c>
      <c r="B4005" s="5" t="str">
        <f>HYPERLINK("http://www.broadinstitute.org/gsea/msigdb/cards/GOBP_ESTABLISHMENT_OF_MITOTIC_SPINDLE_LOCALIZATION.html","GOBP_ESTABLISHMENT_OF_MITOTIC_SPINDLE_LOCALIZATION")</f>
        <v>GOBP_ESTABLISHMENT_OF_MITOTIC_SPINDLE_LOCALIZATION</v>
      </c>
      <c r="C4005" s="4">
        <v>41</v>
      </c>
      <c r="D4005" s="3">
        <v>0.83988569999999996</v>
      </c>
      <c r="E4005" s="1">
        <v>0.74188036000000002</v>
      </c>
      <c r="F4005" s="2">
        <v>0.85608417000000003</v>
      </c>
    </row>
    <row r="4006" spans="1:6" x14ac:dyDescent="0.25">
      <c r="A4006" t="s">
        <v>6</v>
      </c>
      <c r="B4006" s="5" t="str">
        <f>HYPERLINK("http://www.broadinstitute.org/gsea/msigdb/cards/GOBP_GLANDULAR_EPITHELIAL_CELL_DEVELOPMENT.html","GOBP_GLANDULAR_EPITHELIAL_CELL_DEVELOPMENT")</f>
        <v>GOBP_GLANDULAR_EPITHELIAL_CELL_DEVELOPMENT</v>
      </c>
      <c r="C4006" s="4">
        <v>33</v>
      </c>
      <c r="D4006" s="3">
        <v>0.83971660000000004</v>
      </c>
      <c r="E4006" s="1">
        <v>0.70867429999999998</v>
      </c>
      <c r="F4006" s="2">
        <v>0.85619659999999997</v>
      </c>
    </row>
    <row r="4007" spans="1:6" x14ac:dyDescent="0.25">
      <c r="A4007" t="s">
        <v>6</v>
      </c>
      <c r="B4007" s="5" t="str">
        <f>HYPERLINK("http://www.broadinstitute.org/gsea/msigdb/cards/GOBP_PHOSPHATIDIC_ACID_BIOSYNTHETIC_PROCESS.html","GOBP_PHOSPHATIDIC_ACID_BIOSYNTHETIC_PROCESS")</f>
        <v>GOBP_PHOSPHATIDIC_ACID_BIOSYNTHETIC_PROCESS</v>
      </c>
      <c r="C4007" s="4">
        <v>22</v>
      </c>
      <c r="D4007" s="3">
        <v>0.83788899999999999</v>
      </c>
      <c r="E4007" s="1">
        <v>0.70996440000000005</v>
      </c>
      <c r="F4007" s="2">
        <v>0.85958109999999999</v>
      </c>
    </row>
    <row r="4008" spans="1:6" x14ac:dyDescent="0.25">
      <c r="A4008" t="s">
        <v>10</v>
      </c>
      <c r="B4008" s="5" t="str">
        <f>HYPERLINK("http://www.broadinstitute.org/gsea/msigdb/cards/REACTOME_GLUCONEOGENESIS.html","REACTOME_GLUCONEOGENESIS")</f>
        <v>REACTOME_GLUCONEOGENESIS</v>
      </c>
      <c r="C4008" s="4">
        <v>34</v>
      </c>
      <c r="D4008" s="3">
        <v>0.83715063000000001</v>
      </c>
      <c r="E4008" s="1">
        <v>0.71724140000000003</v>
      </c>
      <c r="F4008" s="2">
        <v>0.8607667</v>
      </c>
    </row>
    <row r="4009" spans="1:6" x14ac:dyDescent="0.25">
      <c r="A4009" t="s">
        <v>6</v>
      </c>
      <c r="B4009" s="5" t="str">
        <f>HYPERLINK("http://www.broadinstitute.org/gsea/msigdb/cards/GOBP_DEMETHYLATION.html","GOBP_DEMETHYLATION")</f>
        <v>GOBP_DEMETHYLATION</v>
      </c>
      <c r="C4009" s="4">
        <v>53</v>
      </c>
      <c r="D4009" s="3">
        <v>0.83678012999999996</v>
      </c>
      <c r="E4009" s="1">
        <v>0.78640776999999995</v>
      </c>
      <c r="F4009" s="2">
        <v>0.86129619999999996</v>
      </c>
    </row>
    <row r="4010" spans="1:6" x14ac:dyDescent="0.25">
      <c r="A4010" t="s">
        <v>6</v>
      </c>
      <c r="B4010" s="5" t="str">
        <f>HYPERLINK("http://www.broadinstitute.org/gsea/msigdb/cards/GOBP_BRAIN_MORPHOGENESIS.html","GOBP_BRAIN_MORPHOGENESIS")</f>
        <v>GOBP_BRAIN_MORPHOGENESIS</v>
      </c>
      <c r="C4010" s="4">
        <v>45</v>
      </c>
      <c r="D4010" s="3">
        <v>0.83666910000000005</v>
      </c>
      <c r="E4010" s="1">
        <v>0.71715609999999996</v>
      </c>
      <c r="F4010" s="2">
        <v>0.86128925999999995</v>
      </c>
    </row>
    <row r="4011" spans="1:6" x14ac:dyDescent="0.25">
      <c r="A4011" t="s">
        <v>6</v>
      </c>
      <c r="B4011" s="5" t="str">
        <f>HYPERLINK("http://www.broadinstitute.org/gsea/msigdb/cards/GOBP_DIOL_METABOLIC_PROCESS.html","GOBP_DIOL_METABOLIC_PROCESS")</f>
        <v>GOBP_DIOL_METABOLIC_PROCESS</v>
      </c>
      <c r="C4011" s="4">
        <v>30</v>
      </c>
      <c r="D4011" s="3">
        <v>0.83636259999999996</v>
      </c>
      <c r="E4011" s="1">
        <v>0.71772809999999998</v>
      </c>
      <c r="F4011" s="2">
        <v>0.86165380000000003</v>
      </c>
    </row>
    <row r="4012" spans="1:6" x14ac:dyDescent="0.25">
      <c r="A4012" t="s">
        <v>6</v>
      </c>
      <c r="B4012" s="5" t="str">
        <f>HYPERLINK("http://www.broadinstitute.org/gsea/msigdb/cards/GOBP_MESODERMAL_CELL_DIFFERENTIATION.html","GOBP_MESODERMAL_CELL_DIFFERENTIATION")</f>
        <v>GOBP_MESODERMAL_CELL_DIFFERENTIATION</v>
      </c>
      <c r="C4012" s="4">
        <v>23</v>
      </c>
      <c r="D4012" s="3">
        <v>0.83624785999999995</v>
      </c>
      <c r="E4012" s="1">
        <v>0.72280699999999998</v>
      </c>
      <c r="F4012" s="2">
        <v>0.86166155</v>
      </c>
    </row>
    <row r="4013" spans="1:6" x14ac:dyDescent="0.25">
      <c r="A4013" t="s">
        <v>6</v>
      </c>
      <c r="B4013" s="5" t="str">
        <f>HYPERLINK("http://www.broadinstitute.org/gsea/msigdb/cards/GOBP_NEGATIVE_REGULATION_OF_MACROAUTOPHAGY.html","GOBP_NEGATIVE_REGULATION_OF_MACROAUTOPHAGY")</f>
        <v>GOBP_NEGATIVE_REGULATION_OF_MACROAUTOPHAGY</v>
      </c>
      <c r="C4013" s="4">
        <v>30</v>
      </c>
      <c r="D4013" s="3">
        <v>0.83592962999999998</v>
      </c>
      <c r="E4013" s="1">
        <v>0.72213243999999999</v>
      </c>
      <c r="F4013" s="2">
        <v>0.86205494000000005</v>
      </c>
    </row>
    <row r="4014" spans="1:6" x14ac:dyDescent="0.25">
      <c r="A4014" t="s">
        <v>10</v>
      </c>
      <c r="B4014" s="5" t="str">
        <f>HYPERLINK("http://www.broadinstitute.org/gsea/msigdb/cards/REACTOME_PHOSPHORYLATION_OF_THE_APC_C.html","REACTOME_PHOSPHORYLATION_OF_THE_APC_C")</f>
        <v>REACTOME_PHOSPHORYLATION_OF_THE_APC_C</v>
      </c>
      <c r="C4014" s="4">
        <v>20</v>
      </c>
      <c r="D4014" s="3">
        <v>0.8357291</v>
      </c>
      <c r="E4014" s="1">
        <v>0.70701754000000006</v>
      </c>
      <c r="F4014" s="2">
        <v>0.86224544000000003</v>
      </c>
    </row>
    <row r="4015" spans="1:6" x14ac:dyDescent="0.25">
      <c r="A4015" t="s">
        <v>6</v>
      </c>
      <c r="B4015" s="5" t="str">
        <f>HYPERLINK("http://www.broadinstitute.org/gsea/msigdb/cards/GOBP_PEPTIDYL_THREONINE_DEPHOSPHORYLATION.html","GOBP_PEPTIDYL_THREONINE_DEPHOSPHORYLATION")</f>
        <v>GOBP_PEPTIDYL_THREONINE_DEPHOSPHORYLATION</v>
      </c>
      <c r="C4015" s="4">
        <v>16</v>
      </c>
      <c r="D4015" s="3">
        <v>0.83560749999999995</v>
      </c>
      <c r="E4015" s="1">
        <v>0.69928824999999994</v>
      </c>
      <c r="F4015" s="2">
        <v>0.86225819999999997</v>
      </c>
    </row>
    <row r="4016" spans="1:6" x14ac:dyDescent="0.25">
      <c r="A4016" t="s">
        <v>6</v>
      </c>
      <c r="B4016" s="5" t="str">
        <f>HYPERLINK("http://www.broadinstitute.org/gsea/msigdb/cards/GOBP_GLYCOLYTIC_PROCESS_THROUGH_GLUCOSE_6_PHOSPHATE.html","GOBP_GLYCOLYTIC_PROCESS_THROUGH_GLUCOSE_6_PHOSPHATE")</f>
        <v>GOBP_GLYCOLYTIC_PROCESS_THROUGH_GLUCOSE_6_PHOSPHATE</v>
      </c>
      <c r="C4016" s="4">
        <v>20</v>
      </c>
      <c r="D4016" s="3">
        <v>0.83558949999999999</v>
      </c>
      <c r="E4016" s="1">
        <v>0.69624573000000001</v>
      </c>
      <c r="F4016" s="2">
        <v>0.86207895999999995</v>
      </c>
    </row>
    <row r="4017" spans="1:6" x14ac:dyDescent="0.25">
      <c r="A4017" t="s">
        <v>10</v>
      </c>
      <c r="B4017" s="5" t="str">
        <f>HYPERLINK("http://www.broadinstitute.org/gsea/msigdb/cards/REACTOME_SHC_MEDIATED_CASCADE_FGFR1.html","REACTOME_SHC_MEDIATED_CASCADE_FGFR1")</f>
        <v>REACTOME_SHC_MEDIATED_CASCADE_FGFR1</v>
      </c>
      <c r="C4017" s="4">
        <v>20</v>
      </c>
      <c r="D4017" s="3">
        <v>0.83492200000000005</v>
      </c>
      <c r="E4017" s="1">
        <v>0.71061640000000004</v>
      </c>
      <c r="F4017" s="2">
        <v>0.86314449999999998</v>
      </c>
    </row>
    <row r="4018" spans="1:6" x14ac:dyDescent="0.25">
      <c r="A4018" t="s">
        <v>6</v>
      </c>
      <c r="B4018" s="5" t="str">
        <f>HYPERLINK("http://www.broadinstitute.org/gsea/msigdb/cards/GOBP_CAMP_MEDIATED_SIGNALING.html","GOBP_CAMP_MEDIATED_SIGNALING")</f>
        <v>GOBP_CAMP_MEDIATED_SIGNALING</v>
      </c>
      <c r="C4018" s="4">
        <v>63</v>
      </c>
      <c r="D4018" s="3">
        <v>0.83368719999999996</v>
      </c>
      <c r="E4018" s="1">
        <v>0.77681659999999997</v>
      </c>
      <c r="F4018" s="2">
        <v>0.86527204999999996</v>
      </c>
    </row>
    <row r="4019" spans="1:6" x14ac:dyDescent="0.25">
      <c r="A4019" t="s">
        <v>6</v>
      </c>
      <c r="B4019" s="5" t="str">
        <f>HYPERLINK("http://www.broadinstitute.org/gsea/msigdb/cards/GOBP_PORE_COMPLEX_ASSEMBLY.html","GOBP_PORE_COMPLEX_ASSEMBLY")</f>
        <v>GOBP_PORE_COMPLEX_ASSEMBLY</v>
      </c>
      <c r="C4019" s="4">
        <v>21</v>
      </c>
      <c r="D4019" s="3">
        <v>0.83331010000000005</v>
      </c>
      <c r="E4019" s="1">
        <v>0.73458904000000003</v>
      </c>
      <c r="F4019" s="2">
        <v>0.86576366000000005</v>
      </c>
    </row>
    <row r="4020" spans="1:6" x14ac:dyDescent="0.25">
      <c r="A4020" t="s">
        <v>8</v>
      </c>
      <c r="B4020" s="5" t="str">
        <f>HYPERLINK("http://www.broadinstitute.org/gsea/msigdb/cards/GOMF_NUCLEOTIDE_TRANSMEMBRANE_TRANSPORTER_ACTIVITY.html","GOMF_NUCLEOTIDE_TRANSMEMBRANE_TRANSPORTER_ACTIVITY")</f>
        <v>GOMF_NUCLEOTIDE_TRANSMEMBRANE_TRANSPORTER_ACTIVITY</v>
      </c>
      <c r="C4020" s="4">
        <v>29</v>
      </c>
      <c r="D4020" s="3">
        <v>0.83321272999999996</v>
      </c>
      <c r="E4020" s="1">
        <v>0.71577126000000002</v>
      </c>
      <c r="F4020" s="2">
        <v>0.86573904999999995</v>
      </c>
    </row>
    <row r="4021" spans="1:6" x14ac:dyDescent="0.25">
      <c r="A4021" t="s">
        <v>6</v>
      </c>
      <c r="B4021" s="5" t="str">
        <f>HYPERLINK("http://www.broadinstitute.org/gsea/msigdb/cards/GOBP_REGULATION_OF_HEART_GROWTH.html","GOBP_REGULATION_OF_HEART_GROWTH")</f>
        <v>GOBP_REGULATION_OF_HEART_GROWTH</v>
      </c>
      <c r="C4021" s="4">
        <v>85</v>
      </c>
      <c r="D4021" s="3">
        <v>0.83222830000000003</v>
      </c>
      <c r="E4021" s="1">
        <v>0.81578945999999997</v>
      </c>
      <c r="F4021" s="2">
        <v>0.86737262999999998</v>
      </c>
    </row>
    <row r="4022" spans="1:6" x14ac:dyDescent="0.25">
      <c r="A4022" t="s">
        <v>6</v>
      </c>
      <c r="B4022" s="5" t="str">
        <f>HYPERLINK("http://www.broadinstitute.org/gsea/msigdb/cards/GOBP_IMMATURE_T_CELL_PROLIFERATION.html","GOBP_IMMATURE_T_CELL_PROLIFERATION")</f>
        <v>GOBP_IMMATURE_T_CELL_PROLIFERATION</v>
      </c>
      <c r="C4022" s="4">
        <v>19</v>
      </c>
      <c r="D4022" s="3">
        <v>0.83177449999999997</v>
      </c>
      <c r="E4022" s="1">
        <v>0.71750429999999998</v>
      </c>
      <c r="F4022" s="2">
        <v>0.86802566000000003</v>
      </c>
    </row>
    <row r="4023" spans="1:6" x14ac:dyDescent="0.25">
      <c r="A4023" t="s">
        <v>6</v>
      </c>
      <c r="B4023" s="5" t="str">
        <f>HYPERLINK("http://www.broadinstitute.org/gsea/msigdb/cards/GOBP_VENTRICULAR_CARDIAC_MUSCLE_CELL_DIFFERENTIATION.html","GOBP_VENTRICULAR_CARDIAC_MUSCLE_CELL_DIFFERENTIATION")</f>
        <v>GOBP_VENTRICULAR_CARDIAC_MUSCLE_CELL_DIFFERENTIATION</v>
      </c>
      <c r="C4023" s="4">
        <v>15</v>
      </c>
      <c r="D4023" s="3">
        <v>0.83161043999999995</v>
      </c>
      <c r="E4023" s="1">
        <v>0.68994889999999998</v>
      </c>
      <c r="F4023" s="2">
        <v>0.86812270000000002</v>
      </c>
    </row>
    <row r="4024" spans="1:6" x14ac:dyDescent="0.25">
      <c r="A4024" t="s">
        <v>7</v>
      </c>
      <c r="B4024" s="5" t="str">
        <f>HYPERLINK("http://www.broadinstitute.org/gsea/msigdb/cards/GOCC_CILIARY_ROOTLET.html","GOCC_CILIARY_ROOTLET")</f>
        <v>GOCC_CILIARY_ROOTLET</v>
      </c>
      <c r="C4024" s="4">
        <v>16</v>
      </c>
      <c r="D4024" s="3">
        <v>0.83152349999999997</v>
      </c>
      <c r="E4024" s="1">
        <v>0.70462630000000004</v>
      </c>
      <c r="F4024" s="2">
        <v>0.86807900000000005</v>
      </c>
    </row>
    <row r="4025" spans="1:6" x14ac:dyDescent="0.25">
      <c r="A4025" t="s">
        <v>6</v>
      </c>
      <c r="B4025" s="5" t="str">
        <f>HYPERLINK("http://www.broadinstitute.org/gsea/msigdb/cards/GOBP_ONE_CARBON_COMPOUND_TRANSPORT.html","GOBP_ONE_CARBON_COMPOUND_TRANSPORT")</f>
        <v>GOBP_ONE_CARBON_COMPOUND_TRANSPORT</v>
      </c>
      <c r="C4025" s="4">
        <v>37</v>
      </c>
      <c r="D4025" s="3">
        <v>0.83150389999999996</v>
      </c>
      <c r="E4025" s="1">
        <v>0.75165563999999996</v>
      </c>
      <c r="F4025" s="2">
        <v>0.86790679999999998</v>
      </c>
    </row>
    <row r="4026" spans="1:6" x14ac:dyDescent="0.25">
      <c r="A4026" t="s">
        <v>8</v>
      </c>
      <c r="B4026" s="5" t="str">
        <f>HYPERLINK("http://www.broadinstitute.org/gsea/msigdb/cards/GOMF_CIS_TRANS_ISOMERASE_ACTIVITY.html","GOMF_CIS_TRANS_ISOMERASE_ACTIVITY")</f>
        <v>GOMF_CIS_TRANS_ISOMERASE_ACTIVITY</v>
      </c>
      <c r="C4026" s="4">
        <v>40</v>
      </c>
      <c r="D4026" s="3">
        <v>0.83141169999999998</v>
      </c>
      <c r="E4026" s="1">
        <v>0.72267539999999997</v>
      </c>
      <c r="F4026" s="2">
        <v>0.86787015000000001</v>
      </c>
    </row>
    <row r="4027" spans="1:6" x14ac:dyDescent="0.25">
      <c r="A4027" t="s">
        <v>10</v>
      </c>
      <c r="B4027" s="5" t="str">
        <f>HYPERLINK("http://www.broadinstitute.org/gsea/msigdb/cards/REACTOME_EPHA_MEDIATED_GROWTH_CONE_COLLAPSE.html","REACTOME_EPHA_MEDIATED_GROWTH_CONE_COLLAPSE")</f>
        <v>REACTOME_EPHA_MEDIATED_GROWTH_CONE_COLLAPSE</v>
      </c>
      <c r="C4027" s="4">
        <v>18</v>
      </c>
      <c r="D4027" s="3">
        <v>0.83116645</v>
      </c>
      <c r="E4027" s="1">
        <v>0.71711712999999999</v>
      </c>
      <c r="F4027" s="2">
        <v>0.86812699999999998</v>
      </c>
    </row>
    <row r="4028" spans="1:6" x14ac:dyDescent="0.25">
      <c r="A4028" t="s">
        <v>10</v>
      </c>
      <c r="B4028" s="5" t="str">
        <f>HYPERLINK("http://www.broadinstitute.org/gsea/msigdb/cards/REACTOME_INSULIN_RECEPTOR_SIGNALLING_CASCADE.html","REACTOME_INSULIN_RECEPTOR_SIGNALLING_CASCADE")</f>
        <v>REACTOME_INSULIN_RECEPTOR_SIGNALLING_CASCADE</v>
      </c>
      <c r="C4028" s="4">
        <v>45</v>
      </c>
      <c r="D4028" s="3">
        <v>0.83114679999999996</v>
      </c>
      <c r="E4028" s="1">
        <v>0.76470590000000005</v>
      </c>
      <c r="F4028" s="2">
        <v>0.86794585000000002</v>
      </c>
    </row>
    <row r="4029" spans="1:6" x14ac:dyDescent="0.25">
      <c r="A4029" t="s">
        <v>6</v>
      </c>
      <c r="B4029" s="5" t="str">
        <f>HYPERLINK("http://www.broadinstitute.org/gsea/msigdb/cards/GOBP_NEGATIVE_CHEMOTAXIS.html","GOBP_NEGATIVE_CHEMOTAXIS")</f>
        <v>GOBP_NEGATIVE_CHEMOTAXIS</v>
      </c>
      <c r="C4029" s="4">
        <v>42</v>
      </c>
      <c r="D4029" s="3">
        <v>0.8307447</v>
      </c>
      <c r="E4029" s="1">
        <v>0.73051949999999999</v>
      </c>
      <c r="F4029" s="2">
        <v>0.86848579999999997</v>
      </c>
    </row>
    <row r="4030" spans="1:6" x14ac:dyDescent="0.25">
      <c r="A4030" t="s">
        <v>6</v>
      </c>
      <c r="B4030" s="5" t="str">
        <f>HYPERLINK("http://www.broadinstitute.org/gsea/msigdb/cards/GOBP_SODIUM_ION_TRANSPORT.html","GOBP_SODIUM_ION_TRANSPORT")</f>
        <v>GOBP_SODIUM_ION_TRANSPORT</v>
      </c>
      <c r="C4030" s="4">
        <v>253</v>
      </c>
      <c r="D4030" s="3">
        <v>0.82947784999999996</v>
      </c>
      <c r="E4030" s="1">
        <v>0.90959670000000004</v>
      </c>
      <c r="F4030" s="2">
        <v>0.87067925999999995</v>
      </c>
    </row>
    <row r="4031" spans="1:6" x14ac:dyDescent="0.25">
      <c r="A4031" t="s">
        <v>6</v>
      </c>
      <c r="B4031" s="5" t="str">
        <f>HYPERLINK("http://www.broadinstitute.org/gsea/msigdb/cards/GOBP_SPINDLE_ASSEMBLY.html","GOBP_SPINDLE_ASSEMBLY")</f>
        <v>GOBP_SPINDLE_ASSEMBLY</v>
      </c>
      <c r="C4031" s="4">
        <v>123</v>
      </c>
      <c r="D4031" s="3">
        <v>0.82805680000000004</v>
      </c>
      <c r="E4031" s="1">
        <v>0.84671532999999999</v>
      </c>
      <c r="F4031" s="2">
        <v>0.87309283000000004</v>
      </c>
    </row>
    <row r="4032" spans="1:6" x14ac:dyDescent="0.25">
      <c r="A4032" t="s">
        <v>8</v>
      </c>
      <c r="B4032" s="5" t="str">
        <f>HYPERLINK("http://www.broadinstitute.org/gsea/msigdb/cards/GOMF_CARBOHYDRATE_DERIVATIVE_TRANSMEMBRANE_TRANSPORTER_ACTIVITY.html","GOMF_CARBOHYDRATE_DERIVATIVE_TRANSMEMBRANE_TRANSPORTER_ACTIVITY")</f>
        <v>GOMF_CARBOHYDRATE_DERIVATIVE_TRANSMEMBRANE_TRANSPORTER_ACTIVITY</v>
      </c>
      <c r="C4032" s="4">
        <v>57</v>
      </c>
      <c r="D4032" s="3">
        <v>0.82805010000000001</v>
      </c>
      <c r="E4032" s="1">
        <v>0.77557754999999995</v>
      </c>
      <c r="F4032" s="2">
        <v>0.87289079999999997</v>
      </c>
    </row>
    <row r="4033" spans="1:6" x14ac:dyDescent="0.25">
      <c r="A4033" t="s">
        <v>6</v>
      </c>
      <c r="B4033" s="5" t="str">
        <f>HYPERLINK("http://www.broadinstitute.org/gsea/msigdb/cards/GOBP_SKELETAL_MUSCLE_SATELLITE_CELL_PROLIFERATION.html","GOBP_SKELETAL_MUSCLE_SATELLITE_CELL_PROLIFERATION")</f>
        <v>GOBP_SKELETAL_MUSCLE_SATELLITE_CELL_PROLIFERATION</v>
      </c>
      <c r="C4033" s="4">
        <v>18</v>
      </c>
      <c r="D4033" s="3">
        <v>0.82782155000000002</v>
      </c>
      <c r="E4033" s="1">
        <v>0.71478872999999998</v>
      </c>
      <c r="F4033" s="2">
        <v>0.87311536000000001</v>
      </c>
    </row>
    <row r="4034" spans="1:6" x14ac:dyDescent="0.25">
      <c r="A4034" t="s">
        <v>6</v>
      </c>
      <c r="B4034" s="5" t="str">
        <f>HYPERLINK("http://www.broadinstitute.org/gsea/msigdb/cards/GOBP_OVARIAN_FOLLICLE_DEVELOPMENT.html","GOBP_OVARIAN_FOLLICLE_DEVELOPMENT")</f>
        <v>GOBP_OVARIAN_FOLLICLE_DEVELOPMENT</v>
      </c>
      <c r="C4034" s="4">
        <v>72</v>
      </c>
      <c r="D4034" s="3">
        <v>0.82733179999999995</v>
      </c>
      <c r="E4034" s="1">
        <v>0.80376769999999997</v>
      </c>
      <c r="F4034" s="2">
        <v>0.87381059999999999</v>
      </c>
    </row>
    <row r="4035" spans="1:6" x14ac:dyDescent="0.25">
      <c r="A4035" t="s">
        <v>6</v>
      </c>
      <c r="B4035" s="5" t="str">
        <f>HYPERLINK("http://www.broadinstitute.org/gsea/msigdb/cards/GOBP_REGULATION_OF_STRIATED_MUSCLE_CONTRACTION.html","GOBP_REGULATION_OF_STRIATED_MUSCLE_CONTRACTION")</f>
        <v>GOBP_REGULATION_OF_STRIATED_MUSCLE_CONTRACTION</v>
      </c>
      <c r="C4035" s="4">
        <v>88</v>
      </c>
      <c r="D4035" s="3">
        <v>0.82700854999999995</v>
      </c>
      <c r="E4035" s="1">
        <v>0.82542115000000005</v>
      </c>
      <c r="F4035" s="2">
        <v>0.87420005000000001</v>
      </c>
    </row>
    <row r="4036" spans="1:6" x14ac:dyDescent="0.25">
      <c r="A4036" t="s">
        <v>6</v>
      </c>
      <c r="B4036" s="5" t="str">
        <f>HYPERLINK("http://www.broadinstitute.org/gsea/msigdb/cards/GOBP_POSITIVE_REGULATION_OF_CELL_DIVISION.html","GOBP_POSITIVE_REGULATION_OF_CELL_DIVISION")</f>
        <v>GOBP_POSITIVE_REGULATION_OF_CELL_DIVISION</v>
      </c>
      <c r="C4036" s="4">
        <v>86</v>
      </c>
      <c r="D4036" s="3">
        <v>0.82632559999999999</v>
      </c>
      <c r="E4036" s="1">
        <v>0.80998389999999998</v>
      </c>
      <c r="F4036" s="2">
        <v>0.87523735000000003</v>
      </c>
    </row>
    <row r="4037" spans="1:6" x14ac:dyDescent="0.25">
      <c r="A4037" t="s">
        <v>8</v>
      </c>
      <c r="B4037" s="5" t="str">
        <f>HYPERLINK("http://www.broadinstitute.org/gsea/msigdb/cards/GOMF_HSP70_PROTEIN_BINDING.html","GOMF_HSP70_PROTEIN_BINDING")</f>
        <v>GOMF_HSP70_PROTEIN_BINDING</v>
      </c>
      <c r="C4037" s="4">
        <v>57</v>
      </c>
      <c r="D4037" s="3">
        <v>0.82602065999999996</v>
      </c>
      <c r="E4037" s="1">
        <v>0.77936506000000005</v>
      </c>
      <c r="F4037" s="2">
        <v>0.87560064000000004</v>
      </c>
    </row>
    <row r="4038" spans="1:6" x14ac:dyDescent="0.25">
      <c r="A4038" t="s">
        <v>6</v>
      </c>
      <c r="B4038" s="5" t="str">
        <f>HYPERLINK("http://www.broadinstitute.org/gsea/msigdb/cards/GOBP_SMOOTHENED_SIGNALING_PATHWAY_INVOLVED_IN_DORSAL_VENTRAL_NEURAL_TUBE_PATTERNING.html","GOBP_SMOOTHENED_SIGNALING_PATHWAY_INVOLVED_IN_DORSAL_VENTRAL_NEURAL_TUBE_PATTERNING")</f>
        <v>GOBP_SMOOTHENED_SIGNALING_PATHWAY_INVOLVED_IN_DORSAL_VENTRAL_NEURAL_TUBE_PATTERNING</v>
      </c>
      <c r="C4038" s="4">
        <v>16</v>
      </c>
      <c r="D4038" s="3">
        <v>0.82547574999999995</v>
      </c>
      <c r="E4038" s="1">
        <v>0.72968197000000001</v>
      </c>
      <c r="F4038" s="2">
        <v>0.87640744000000004</v>
      </c>
    </row>
    <row r="4039" spans="1:6" x14ac:dyDescent="0.25">
      <c r="A4039" t="s">
        <v>6</v>
      </c>
      <c r="B4039" s="5" t="str">
        <f>HYPERLINK("http://www.broadinstitute.org/gsea/msigdb/cards/GOBP_RIG_I_SIGNALING_PATHWAY.html","GOBP_RIG_I_SIGNALING_PATHWAY")</f>
        <v>GOBP_RIG_I_SIGNALING_PATHWAY</v>
      </c>
      <c r="C4039" s="4">
        <v>26</v>
      </c>
      <c r="D4039" s="3">
        <v>0.82535440000000004</v>
      </c>
      <c r="E4039" s="1">
        <v>0.73187184000000005</v>
      </c>
      <c r="F4039" s="2">
        <v>0.87641435999999995</v>
      </c>
    </row>
    <row r="4040" spans="1:6" x14ac:dyDescent="0.25">
      <c r="A4040" t="s">
        <v>6</v>
      </c>
      <c r="B4040" s="5" t="str">
        <f>HYPERLINK("http://www.broadinstitute.org/gsea/msigdb/cards/GOBP_POLYSACCHARIDE_CATABOLIC_PROCESS.html","GOBP_POLYSACCHARIDE_CATABOLIC_PROCESS")</f>
        <v>GOBP_POLYSACCHARIDE_CATABOLIC_PROCESS</v>
      </c>
      <c r="C4040" s="4">
        <v>28</v>
      </c>
      <c r="D4040" s="3">
        <v>0.82460009999999995</v>
      </c>
      <c r="E4040" s="1">
        <v>0.71474879999999996</v>
      </c>
      <c r="F4040" s="2">
        <v>0.87757870000000004</v>
      </c>
    </row>
    <row r="4041" spans="1:6" x14ac:dyDescent="0.25">
      <c r="A4041" t="s">
        <v>10</v>
      </c>
      <c r="B4041" s="5" t="str">
        <f>HYPERLINK("http://www.broadinstitute.org/gsea/msigdb/cards/REACTOME_DOWNSTREAM_SIGNALING_OF_ACTIVATED_FGFR3.html","REACTOME_DOWNSTREAM_SIGNALING_OF_ACTIVATED_FGFR3")</f>
        <v>REACTOME_DOWNSTREAM_SIGNALING_OF_ACTIVATED_FGFR3</v>
      </c>
      <c r="C4041" s="4">
        <v>24</v>
      </c>
      <c r="D4041" s="3">
        <v>0.82418049999999998</v>
      </c>
      <c r="E4041" s="1">
        <v>0.7200704</v>
      </c>
      <c r="F4041" s="2">
        <v>0.87812389999999996</v>
      </c>
    </row>
    <row r="4042" spans="1:6" x14ac:dyDescent="0.25">
      <c r="A4042" t="s">
        <v>6</v>
      </c>
      <c r="B4042" s="5" t="str">
        <f>HYPERLINK("http://www.broadinstitute.org/gsea/msigdb/cards/GOBP_SENSORY_PERCEPTION_OF_MECHANICAL_STIMULUS.html","GOBP_SENSORY_PERCEPTION_OF_MECHANICAL_STIMULUS")</f>
        <v>GOBP_SENSORY_PERCEPTION_OF_MECHANICAL_STIMULUS</v>
      </c>
      <c r="C4042" s="4">
        <v>207</v>
      </c>
      <c r="D4042" s="3">
        <v>0.82401144999999998</v>
      </c>
      <c r="E4042" s="1">
        <v>0.88595270000000004</v>
      </c>
      <c r="F4042" s="2">
        <v>0.87820419999999999</v>
      </c>
    </row>
    <row r="4043" spans="1:6" x14ac:dyDescent="0.25">
      <c r="A4043" t="s">
        <v>6</v>
      </c>
      <c r="B4043" s="5" t="str">
        <f>HYPERLINK("http://www.broadinstitute.org/gsea/msigdb/cards/GOBP_POSITIVE_REGULATION_OF_DNA_REPLICATION.html","GOBP_POSITIVE_REGULATION_OF_DNA_REPLICATION")</f>
        <v>GOBP_POSITIVE_REGULATION_OF_DNA_REPLICATION</v>
      </c>
      <c r="C4043" s="4">
        <v>49</v>
      </c>
      <c r="D4043" s="3">
        <v>0.82282809999999995</v>
      </c>
      <c r="E4043" s="1">
        <v>0.76460766999999996</v>
      </c>
      <c r="F4043" s="2">
        <v>0.8801504</v>
      </c>
    </row>
    <row r="4044" spans="1:6" x14ac:dyDescent="0.25">
      <c r="A4044" t="s">
        <v>7</v>
      </c>
      <c r="B4044" s="5" t="str">
        <f>HYPERLINK("http://www.broadinstitute.org/gsea/msigdb/cards/GOCC_EXTRINSIC_COMPONENT_OF_ORGANELLE_MEMBRANE.html","GOCC_EXTRINSIC_COMPONENT_OF_ORGANELLE_MEMBRANE")</f>
        <v>GOCC_EXTRINSIC_COMPONENT_OF_ORGANELLE_MEMBRANE</v>
      </c>
      <c r="C4044" s="4">
        <v>38</v>
      </c>
      <c r="D4044" s="3">
        <v>0.82258399999999998</v>
      </c>
      <c r="E4044" s="1">
        <v>0.75809199999999999</v>
      </c>
      <c r="F4044" s="2">
        <v>0.88037069999999995</v>
      </c>
    </row>
    <row r="4045" spans="1:6" x14ac:dyDescent="0.25">
      <c r="A4045" t="s">
        <v>6</v>
      </c>
      <c r="B4045" s="5" t="str">
        <f>HYPERLINK("http://www.broadinstitute.org/gsea/msigdb/cards/GOBP_POSITIVE_REGULATION_OF_STEROL_TRANSPORT.html","GOBP_POSITIVE_REGULATION_OF_STEROL_TRANSPORT")</f>
        <v>GOBP_POSITIVE_REGULATION_OF_STEROL_TRANSPORT</v>
      </c>
      <c r="C4045" s="4">
        <v>45</v>
      </c>
      <c r="D4045" s="3">
        <v>0.82241350000000002</v>
      </c>
      <c r="E4045" s="1">
        <v>0.76947533999999995</v>
      </c>
      <c r="F4045" s="2">
        <v>0.88046829999999998</v>
      </c>
    </row>
    <row r="4046" spans="1:6" x14ac:dyDescent="0.25">
      <c r="A4046" t="s">
        <v>6</v>
      </c>
      <c r="B4046" s="5" t="str">
        <f>HYPERLINK("http://www.broadinstitute.org/gsea/msigdb/cards/GOBP_UBIQUITIN_DEPENDENT_PROTEIN_CATABOLIC_PROCESS_VIA_THE_MULTIVESICULAR_BODY_SORTING_PATHWAY.html","GOBP_UBIQUITIN_DEPENDENT_PROTEIN_CATABOLIC_PROCESS_VIA_THE_MULTIVESICULAR_BODY_SORTING_PATHWAY")</f>
        <v>GOBP_UBIQUITIN_DEPENDENT_PROTEIN_CATABOLIC_PROCESS_VIA_THE_MULTIVESICULAR_BODY_SORTING_PATHWAY</v>
      </c>
      <c r="C4046" s="4">
        <v>29</v>
      </c>
      <c r="D4046" s="3">
        <v>0.82231430000000005</v>
      </c>
      <c r="E4046" s="1">
        <v>0.75122750000000005</v>
      </c>
      <c r="F4046" s="2">
        <v>0.88043475000000004</v>
      </c>
    </row>
    <row r="4047" spans="1:6" x14ac:dyDescent="0.25">
      <c r="A4047" t="s">
        <v>6</v>
      </c>
      <c r="B4047" s="5" t="str">
        <f>HYPERLINK("http://www.broadinstitute.org/gsea/msigdb/cards/GOBP_MECHANORECEPTOR_DIFFERENTIATION.html","GOBP_MECHANORECEPTOR_DIFFERENTIATION")</f>
        <v>GOBP_MECHANORECEPTOR_DIFFERENTIATION</v>
      </c>
      <c r="C4047" s="4">
        <v>93</v>
      </c>
      <c r="D4047" s="3">
        <v>0.82175969999999998</v>
      </c>
      <c r="E4047" s="1">
        <v>0.83644859999999999</v>
      </c>
      <c r="F4047" s="2">
        <v>0.88120929999999997</v>
      </c>
    </row>
    <row r="4048" spans="1:6" x14ac:dyDescent="0.25">
      <c r="A4048" t="s">
        <v>10</v>
      </c>
      <c r="B4048" s="5" t="str">
        <f>HYPERLINK("http://www.broadinstitute.org/gsea/msigdb/cards/REACTOME_PREDNISONE_ADME.html","REACTOME_PREDNISONE_ADME")</f>
        <v>REACTOME_PREDNISONE_ADME</v>
      </c>
      <c r="C4048" s="4">
        <v>16</v>
      </c>
      <c r="D4048" s="3">
        <v>0.82137979999999999</v>
      </c>
      <c r="E4048" s="1">
        <v>0.70868825999999996</v>
      </c>
      <c r="F4048" s="2">
        <v>0.88167499999999999</v>
      </c>
    </row>
    <row r="4049" spans="1:6" x14ac:dyDescent="0.25">
      <c r="A4049" t="s">
        <v>8</v>
      </c>
      <c r="B4049" s="5" t="str">
        <f>HYPERLINK("http://www.broadinstitute.org/gsea/msigdb/cards/GOMF_SECONDARY_ACTIVE_TRANSMEMBRANE_TRANSPORTER_ACTIVITY.html","GOMF_SECONDARY_ACTIVE_TRANSMEMBRANE_TRANSPORTER_ACTIVITY")</f>
        <v>GOMF_SECONDARY_ACTIVE_TRANSMEMBRANE_TRANSPORTER_ACTIVITY</v>
      </c>
      <c r="C4049" s="4">
        <v>279</v>
      </c>
      <c r="D4049" s="3">
        <v>0.82136893</v>
      </c>
      <c r="E4049" s="1">
        <v>0.92885375000000003</v>
      </c>
      <c r="F4049" s="2">
        <v>0.88147589999999998</v>
      </c>
    </row>
    <row r="4050" spans="1:6" x14ac:dyDescent="0.25">
      <c r="A4050" t="s">
        <v>6</v>
      </c>
      <c r="B4050" s="5" t="str">
        <f>HYPERLINK("http://www.broadinstitute.org/gsea/msigdb/cards/GOBP_REGULATION_OF_IMMATURE_T_CELL_PROLIFERATION.html","GOBP_REGULATION_OF_IMMATURE_T_CELL_PROLIFERATION")</f>
        <v>GOBP_REGULATION_OF_IMMATURE_T_CELL_PROLIFERATION</v>
      </c>
      <c r="C4050" s="4">
        <v>17</v>
      </c>
      <c r="D4050" s="3">
        <v>0.8212798</v>
      </c>
      <c r="E4050" s="1">
        <v>0.70238096000000005</v>
      </c>
      <c r="F4050" s="2">
        <v>0.88141780000000003</v>
      </c>
    </row>
    <row r="4051" spans="1:6" x14ac:dyDescent="0.25">
      <c r="A4051" t="s">
        <v>10</v>
      </c>
      <c r="B4051" s="5" t="str">
        <f>HYPERLINK("http://www.broadinstitute.org/gsea/msigdb/cards/REACTOME_CYTOSOLIC_SULFONATION_OF_SMALL_MOLECULES.html","REACTOME_CYTOSOLIC_SULFONATION_OF_SMALL_MOLECULES")</f>
        <v>REACTOME_CYTOSOLIC_SULFONATION_OF_SMALL_MOLECULES</v>
      </c>
      <c r="C4051" s="4">
        <v>18</v>
      </c>
      <c r="D4051" s="3">
        <v>0.82114609999999999</v>
      </c>
      <c r="E4051" s="1">
        <v>0.72089040000000004</v>
      </c>
      <c r="F4051" s="2">
        <v>0.88145649999999998</v>
      </c>
    </row>
    <row r="4052" spans="1:6" x14ac:dyDescent="0.25">
      <c r="A4052" t="s">
        <v>6</v>
      </c>
      <c r="B4052" s="5" t="str">
        <f>HYPERLINK("http://www.broadinstitute.org/gsea/msigdb/cards/GOBP_MUSCLE_CELL_CELLULAR_HOMEOSTASIS.html","GOBP_MUSCLE_CELL_CELLULAR_HOMEOSTASIS")</f>
        <v>GOBP_MUSCLE_CELL_CELLULAR_HOMEOSTASIS</v>
      </c>
      <c r="C4052" s="4">
        <v>27</v>
      </c>
      <c r="D4052" s="3">
        <v>0.82095980000000002</v>
      </c>
      <c r="E4052" s="1">
        <v>0.7565674</v>
      </c>
      <c r="F4052" s="2">
        <v>0.88156562999999999</v>
      </c>
    </row>
    <row r="4053" spans="1:6" x14ac:dyDescent="0.25">
      <c r="A4053" t="s">
        <v>6</v>
      </c>
      <c r="B4053" s="5" t="str">
        <f>HYPERLINK("http://www.broadinstitute.org/gsea/msigdb/cards/GOBP_POSTSYNAPTIC_SPECIALIZATION_ORGANIZATION.html","GOBP_POSTSYNAPTIC_SPECIALIZATION_ORGANIZATION")</f>
        <v>GOBP_POSTSYNAPTIC_SPECIALIZATION_ORGANIZATION</v>
      </c>
      <c r="C4053" s="4">
        <v>56</v>
      </c>
      <c r="D4053" s="3">
        <v>0.82083859999999997</v>
      </c>
      <c r="E4053" s="1">
        <v>0.76555026000000004</v>
      </c>
      <c r="F4053" s="2">
        <v>0.88157269999999999</v>
      </c>
    </row>
    <row r="4054" spans="1:6" x14ac:dyDescent="0.25">
      <c r="A4054" t="s">
        <v>8</v>
      </c>
      <c r="B4054" s="5" t="str">
        <f>HYPERLINK("http://www.broadinstitute.org/gsea/msigdb/cards/GOMF_METAL_CATION_MONOATOMIC_CATION_ANTIPORTER_ACTIVITY.html","GOMF_METAL_CATION_MONOATOMIC_CATION_ANTIPORTER_ACTIVITY")</f>
        <v>GOMF_METAL_CATION_MONOATOMIC_CATION_ANTIPORTER_ACTIVITY</v>
      </c>
      <c r="C4054" s="4">
        <v>38</v>
      </c>
      <c r="D4054" s="3">
        <v>0.82077306999999999</v>
      </c>
      <c r="E4054" s="1">
        <v>0.76644736999999996</v>
      </c>
      <c r="F4054" s="2">
        <v>0.8814729</v>
      </c>
    </row>
    <row r="4055" spans="1:6" x14ac:dyDescent="0.25">
      <c r="A4055" t="s">
        <v>6</v>
      </c>
      <c r="B4055" s="5" t="str">
        <f>HYPERLINK("http://www.broadinstitute.org/gsea/msigdb/cards/GOBP_NEGATIVE_REGULATION_OF_SMALL_MOLECULE_METABOLIC_PROCESS.html","GOBP_NEGATIVE_REGULATION_OF_SMALL_MOLECULE_METABOLIC_PROCESS")</f>
        <v>GOBP_NEGATIVE_REGULATION_OF_SMALL_MOLECULE_METABOLIC_PROCESS</v>
      </c>
      <c r="C4055" s="4">
        <v>115</v>
      </c>
      <c r="D4055" s="3">
        <v>0.81994160000000005</v>
      </c>
      <c r="E4055" s="1">
        <v>0.84352773000000003</v>
      </c>
      <c r="F4055" s="2">
        <v>0.88275090000000001</v>
      </c>
    </row>
    <row r="4056" spans="1:6" x14ac:dyDescent="0.25">
      <c r="A4056" t="s">
        <v>6</v>
      </c>
      <c r="B4056" s="5" t="str">
        <f>HYPERLINK("http://www.broadinstitute.org/gsea/msigdb/cards/GOBP_PROTEIN_SUMOYLATION.html","GOBP_PROTEIN_SUMOYLATION")</f>
        <v>GOBP_PROTEIN_SUMOYLATION</v>
      </c>
      <c r="C4056" s="4">
        <v>42</v>
      </c>
      <c r="D4056" s="3">
        <v>0.81935570000000002</v>
      </c>
      <c r="E4056" s="1">
        <v>0.7752443</v>
      </c>
      <c r="F4056" s="2">
        <v>0.88354975000000002</v>
      </c>
    </row>
    <row r="4057" spans="1:6" x14ac:dyDescent="0.25">
      <c r="A4057" t="s">
        <v>6</v>
      </c>
      <c r="B4057" s="5" t="str">
        <f>HYPERLINK("http://www.broadinstitute.org/gsea/msigdb/cards/GOBP_ENDONUCLEOLYTIC_CLEAVAGE_OF_TRICISTRONIC_RRNA_TRANSCRIPT_SSU_RRNA_5_8S_RRNA_LSU_RRNA.html","GOBP_ENDONUCLEOLYTIC_CLEAVAGE_OF_TRICISTRONIC_RRNA_TRANSCRIPT_SSU_RRNA_5_8S_RRNA_LSU_RRNA")</f>
        <v>GOBP_ENDONUCLEOLYTIC_CLEAVAGE_OF_TRICISTRONIC_RRNA_TRANSCRIPT_SSU_RRNA_5_8S_RRNA_LSU_RRNA</v>
      </c>
      <c r="C4057" s="4">
        <v>16</v>
      </c>
      <c r="D4057" s="3">
        <v>0.81926069999999995</v>
      </c>
      <c r="E4057" s="1">
        <v>0.72629695999999999</v>
      </c>
      <c r="F4057" s="2">
        <v>0.88350445</v>
      </c>
    </row>
    <row r="4058" spans="1:6" x14ac:dyDescent="0.25">
      <c r="A4058" t="s">
        <v>6</v>
      </c>
      <c r="B4058" s="5" t="str">
        <f>HYPERLINK("http://www.broadinstitute.org/gsea/msigdb/cards/GOBP_POSITIVE_REGULATION_OF_EMBRYONIC_DEVELOPMENT.html","GOBP_POSITIVE_REGULATION_OF_EMBRYONIC_DEVELOPMENT")</f>
        <v>GOBP_POSITIVE_REGULATION_OF_EMBRYONIC_DEVELOPMENT</v>
      </c>
      <c r="C4058" s="4">
        <v>24</v>
      </c>
      <c r="D4058" s="3">
        <v>0.81914746999999999</v>
      </c>
      <c r="E4058" s="1">
        <v>0.73411369999999998</v>
      </c>
      <c r="F4058" s="2">
        <v>0.88348543999999996</v>
      </c>
    </row>
    <row r="4059" spans="1:6" x14ac:dyDescent="0.25">
      <c r="A4059" t="s">
        <v>6</v>
      </c>
      <c r="B4059" s="5" t="str">
        <f>HYPERLINK("http://www.broadinstitute.org/gsea/msigdb/cards/GOBP_REGULATION_OF_TRANSCRIPTION_BY_RNA_POLYMERASE_III.html","GOBP_REGULATION_OF_TRANSCRIPTION_BY_RNA_POLYMERASE_III")</f>
        <v>GOBP_REGULATION_OF_TRANSCRIPTION_BY_RNA_POLYMERASE_III</v>
      </c>
      <c r="C4059" s="4">
        <v>25</v>
      </c>
      <c r="D4059" s="3">
        <v>0.81878823000000001</v>
      </c>
      <c r="E4059" s="1">
        <v>0.729097</v>
      </c>
      <c r="F4059" s="2">
        <v>0.88390919999999995</v>
      </c>
    </row>
    <row r="4060" spans="1:6" x14ac:dyDescent="0.25">
      <c r="A4060" t="s">
        <v>6</v>
      </c>
      <c r="B4060" s="5" t="str">
        <f>HYPERLINK("http://www.broadinstitute.org/gsea/msigdb/cards/GOBP_REGULATION_OF_CENTRIOLE_REPLICATION.html","GOBP_REGULATION_OF_CENTRIOLE_REPLICATION")</f>
        <v>GOBP_REGULATION_OF_CENTRIOLE_REPLICATION</v>
      </c>
      <c r="C4060" s="4">
        <v>22</v>
      </c>
      <c r="D4060" s="3">
        <v>0.81861824000000005</v>
      </c>
      <c r="E4060" s="1">
        <v>0.7248677</v>
      </c>
      <c r="F4060" s="2">
        <v>0.88398690000000002</v>
      </c>
    </row>
    <row r="4061" spans="1:6" x14ac:dyDescent="0.25">
      <c r="A4061" t="s">
        <v>6</v>
      </c>
      <c r="B4061" s="5" t="str">
        <f>HYPERLINK("http://www.broadinstitute.org/gsea/msigdb/cards/GOBP_MICROTUBULE_POLYMERIZATION.html","GOBP_MICROTUBULE_POLYMERIZATION")</f>
        <v>GOBP_MICROTUBULE_POLYMERIZATION</v>
      </c>
      <c r="C4061" s="4">
        <v>88</v>
      </c>
      <c r="D4061" s="3">
        <v>0.81836534000000005</v>
      </c>
      <c r="E4061" s="1">
        <v>0.82949309999999998</v>
      </c>
      <c r="F4061" s="2">
        <v>0.88419753000000001</v>
      </c>
    </row>
    <row r="4062" spans="1:6" x14ac:dyDescent="0.25">
      <c r="A4062" t="s">
        <v>6</v>
      </c>
      <c r="B4062" s="5" t="str">
        <f>HYPERLINK("http://www.broadinstitute.org/gsea/msigdb/cards/GOBP_RESPONSE_TO_LITHIUM_ION.html","GOBP_RESPONSE_TO_LITHIUM_ION")</f>
        <v>GOBP_RESPONSE_TO_LITHIUM_ION</v>
      </c>
      <c r="C4062" s="4">
        <v>16</v>
      </c>
      <c r="D4062" s="3">
        <v>0.81835820000000004</v>
      </c>
      <c r="E4062" s="1">
        <v>0.7200704</v>
      </c>
      <c r="F4062" s="2">
        <v>0.88399079999999997</v>
      </c>
    </row>
    <row r="4063" spans="1:6" x14ac:dyDescent="0.25">
      <c r="A4063" t="s">
        <v>6</v>
      </c>
      <c r="B4063" s="5" t="str">
        <f>HYPERLINK("http://www.broadinstitute.org/gsea/msigdb/cards/GOBP_EMBRYONIC_EYE_MORPHOGENESIS.html","GOBP_EMBRYONIC_EYE_MORPHOGENESIS")</f>
        <v>GOBP_EMBRYONIC_EYE_MORPHOGENESIS</v>
      </c>
      <c r="C4063" s="4">
        <v>36</v>
      </c>
      <c r="D4063" s="3">
        <v>0.81831050000000005</v>
      </c>
      <c r="E4063" s="1">
        <v>0.76541095999999997</v>
      </c>
      <c r="F4063" s="2">
        <v>0.88386065000000003</v>
      </c>
    </row>
    <row r="4064" spans="1:6" x14ac:dyDescent="0.25">
      <c r="A4064" t="s">
        <v>6</v>
      </c>
      <c r="B4064" s="5" t="str">
        <f>HYPERLINK("http://www.broadinstitute.org/gsea/msigdb/cards/GOBP_ORGANIC_ACID_BIOSYNTHETIC_PROCESS.html","GOBP_ORGANIC_ACID_BIOSYNTHETIC_PROCESS")</f>
        <v>GOBP_ORGANIC_ACID_BIOSYNTHETIC_PROCESS</v>
      </c>
      <c r="C4064" s="4">
        <v>305</v>
      </c>
      <c r="D4064" s="3">
        <v>0.81768019999999997</v>
      </c>
      <c r="E4064" s="1">
        <v>0.93808882999999998</v>
      </c>
      <c r="F4064" s="2">
        <v>0.88477519999999998</v>
      </c>
    </row>
    <row r="4065" spans="1:6" x14ac:dyDescent="0.25">
      <c r="A4065" t="s">
        <v>6</v>
      </c>
      <c r="B4065" s="5" t="str">
        <f>HYPERLINK("http://www.broadinstitute.org/gsea/msigdb/cards/GOBP_RETINOIC_ACID_BIOSYNTHETIC_PROCESS.html","GOBP_RETINOIC_ACID_BIOSYNTHETIC_PROCESS")</f>
        <v>GOBP_RETINOIC_ACID_BIOSYNTHETIC_PROCESS</v>
      </c>
      <c r="C4065" s="4">
        <v>19</v>
      </c>
      <c r="D4065" s="3">
        <v>0.81760920000000004</v>
      </c>
      <c r="E4065" s="1">
        <v>0.73472947</v>
      </c>
      <c r="F4065" s="2">
        <v>0.88469140000000002</v>
      </c>
    </row>
    <row r="4066" spans="1:6" x14ac:dyDescent="0.25">
      <c r="A4066" t="s">
        <v>7</v>
      </c>
      <c r="B4066" s="5" t="str">
        <f>HYPERLINK("http://www.broadinstitute.org/gsea/msigdb/cards/GOCC_SYNAPTIC_CLEFT.html","GOCC_SYNAPTIC_CLEFT")</f>
        <v>GOCC_SYNAPTIC_CLEFT</v>
      </c>
      <c r="C4066" s="4">
        <v>25</v>
      </c>
      <c r="D4066" s="3">
        <v>0.81689149999999999</v>
      </c>
      <c r="E4066" s="1">
        <v>0.76961599999999997</v>
      </c>
      <c r="F4066" s="2">
        <v>0.88572364999999997</v>
      </c>
    </row>
    <row r="4067" spans="1:6" x14ac:dyDescent="0.25">
      <c r="A4067" t="s">
        <v>10</v>
      </c>
      <c r="B4067" s="5" t="str">
        <f>HYPERLINK("http://www.broadinstitute.org/gsea/msigdb/cards/REACTOME_POTASSIUM_CHANNELS.html","REACTOME_POTASSIUM_CHANNELS")</f>
        <v>REACTOME_POTASSIUM_CHANNELS</v>
      </c>
      <c r="C4067" s="4">
        <v>95</v>
      </c>
      <c r="D4067" s="3">
        <v>0.81683430000000001</v>
      </c>
      <c r="E4067" s="1">
        <v>0.84210527000000002</v>
      </c>
      <c r="F4067" s="2">
        <v>0.88560970000000006</v>
      </c>
    </row>
    <row r="4068" spans="1:6" x14ac:dyDescent="0.25">
      <c r="A4068" t="s">
        <v>6</v>
      </c>
      <c r="B4068" s="5" t="str">
        <f>HYPERLINK("http://www.broadinstitute.org/gsea/msigdb/cards/GOBP_PTERIDINE_CONTAINING_COMPOUND_METABOLIC_PROCESS.html","GOBP_PTERIDINE_CONTAINING_COMPOUND_METABOLIC_PROCESS")</f>
        <v>GOBP_PTERIDINE_CONTAINING_COMPOUND_METABOLIC_PROCESS</v>
      </c>
      <c r="C4068" s="4">
        <v>30</v>
      </c>
      <c r="D4068" s="3">
        <v>0.81660730000000004</v>
      </c>
      <c r="E4068" s="1">
        <v>0.76285243000000003</v>
      </c>
      <c r="F4068" s="2">
        <v>0.88579719999999995</v>
      </c>
    </row>
    <row r="4069" spans="1:6" x14ac:dyDescent="0.25">
      <c r="A4069" t="s">
        <v>6</v>
      </c>
      <c r="B4069" s="5" t="str">
        <f>HYPERLINK("http://www.broadinstitute.org/gsea/msigdb/cards/GOBP_POSITIVE_REGULATION_OF_CYCLASE_ACTIVITY.html","GOBP_POSITIVE_REGULATION_OF_CYCLASE_ACTIVITY")</f>
        <v>GOBP_POSITIVE_REGULATION_OF_CYCLASE_ACTIVITY</v>
      </c>
      <c r="C4069" s="4">
        <v>38</v>
      </c>
      <c r="D4069" s="3">
        <v>0.8165907</v>
      </c>
      <c r="E4069" s="1">
        <v>0.78396069999999995</v>
      </c>
      <c r="F4069" s="2">
        <v>0.88560843</v>
      </c>
    </row>
    <row r="4070" spans="1:6" x14ac:dyDescent="0.25">
      <c r="A4070" t="s">
        <v>8</v>
      </c>
      <c r="B4070" s="5" t="str">
        <f>HYPERLINK("http://www.broadinstitute.org/gsea/msigdb/cards/GOMF_INSULIN_LIKE_GROWTH_FACTOR_BINDING.html","GOMF_INSULIN_LIKE_GROWTH_FACTOR_BINDING")</f>
        <v>GOMF_INSULIN_LIKE_GROWTH_FACTOR_BINDING</v>
      </c>
      <c r="C4070" s="4">
        <v>17</v>
      </c>
      <c r="D4070" s="3">
        <v>0.81611805999999998</v>
      </c>
      <c r="E4070" s="1">
        <v>0.73154359999999996</v>
      </c>
      <c r="F4070" s="2">
        <v>0.88623609999999997</v>
      </c>
    </row>
    <row r="4071" spans="1:6" x14ac:dyDescent="0.25">
      <c r="A4071" t="s">
        <v>8</v>
      </c>
      <c r="B4071" s="5" t="str">
        <f>HYPERLINK("http://www.broadinstitute.org/gsea/msigdb/cards/GOMF_INTRAMOLECULAR_TRANSFERASE_ACTIVITY.html","GOMF_INTRAMOLECULAR_TRANSFERASE_ACTIVITY")</f>
        <v>GOMF_INTRAMOLECULAR_TRANSFERASE_ACTIVITY</v>
      </c>
      <c r="C4071" s="4">
        <v>26</v>
      </c>
      <c r="D4071" s="3">
        <v>0.81587240000000005</v>
      </c>
      <c r="E4071" s="1">
        <v>0.75374377000000004</v>
      </c>
      <c r="F4071" s="2">
        <v>0.88646029999999998</v>
      </c>
    </row>
    <row r="4072" spans="1:6" x14ac:dyDescent="0.25">
      <c r="A4072" t="s">
        <v>6</v>
      </c>
      <c r="B4072" s="5" t="str">
        <f>HYPERLINK("http://www.broadinstitute.org/gsea/msigdb/cards/GOBP_MESODERM_DEVELOPMENT.html","GOBP_MESODERM_DEVELOPMENT")</f>
        <v>GOBP_MESODERM_DEVELOPMENT</v>
      </c>
      <c r="C4072" s="4">
        <v>118</v>
      </c>
      <c r="D4072" s="3">
        <v>0.81582796999999996</v>
      </c>
      <c r="E4072" s="1">
        <v>0.86356586000000002</v>
      </c>
      <c r="F4072" s="2">
        <v>0.88631879999999996</v>
      </c>
    </row>
    <row r="4073" spans="1:6" x14ac:dyDescent="0.25">
      <c r="A4073" t="s">
        <v>8</v>
      </c>
      <c r="B4073" s="5" t="str">
        <f>HYPERLINK("http://www.broadinstitute.org/gsea/msigdb/cards/GOMF_DNA_SECONDARY_STRUCTURE_BINDING.html","GOMF_DNA_SECONDARY_STRUCTURE_BINDING")</f>
        <v>GOMF_DNA_SECONDARY_STRUCTURE_BINDING</v>
      </c>
      <c r="C4073" s="4">
        <v>37</v>
      </c>
      <c r="D4073" s="3">
        <v>0.8158048</v>
      </c>
      <c r="E4073" s="1">
        <v>0.7902439</v>
      </c>
      <c r="F4073" s="2">
        <v>0.88614420000000005</v>
      </c>
    </row>
    <row r="4074" spans="1:6" x14ac:dyDescent="0.25">
      <c r="A4074" t="s">
        <v>8</v>
      </c>
      <c r="B4074" s="5" t="str">
        <f>HYPERLINK("http://www.broadinstitute.org/gsea/msigdb/cards/GOMF_ATPASE_REGULATOR_ACTIVITY.html","GOMF_ATPASE_REGULATOR_ACTIVITY")</f>
        <v>GOMF_ATPASE_REGULATOR_ACTIVITY</v>
      </c>
      <c r="C4074" s="4">
        <v>46</v>
      </c>
      <c r="D4074" s="3">
        <v>0.81576420000000005</v>
      </c>
      <c r="E4074" s="1">
        <v>0.79436152999999998</v>
      </c>
      <c r="F4074" s="2">
        <v>0.88600003999999999</v>
      </c>
    </row>
    <row r="4075" spans="1:6" x14ac:dyDescent="0.25">
      <c r="A4075" t="s">
        <v>6</v>
      </c>
      <c r="B4075" s="5" t="str">
        <f>HYPERLINK("http://www.broadinstitute.org/gsea/msigdb/cards/GOBP_INNER_EAR_RECEPTOR_CELL_STEREOCILIUM_ORGANIZATION.html","GOBP_INNER_EAR_RECEPTOR_CELL_STEREOCILIUM_ORGANIZATION")</f>
        <v>GOBP_INNER_EAR_RECEPTOR_CELL_STEREOCILIUM_ORGANIZATION</v>
      </c>
      <c r="C4075" s="4">
        <v>46</v>
      </c>
      <c r="D4075" s="3">
        <v>0.81551569999999995</v>
      </c>
      <c r="E4075" s="1">
        <v>0.78209459999999997</v>
      </c>
      <c r="F4075" s="2">
        <v>0.88621919999999998</v>
      </c>
    </row>
    <row r="4076" spans="1:6" x14ac:dyDescent="0.25">
      <c r="A4076" t="s">
        <v>7</v>
      </c>
      <c r="B4076" s="5" t="str">
        <f>HYPERLINK("http://www.broadinstitute.org/gsea/msigdb/cards/GOCC_DOPAMINERGIC_SYNAPSE.html","GOCC_DOPAMINERGIC_SYNAPSE")</f>
        <v>GOCC_DOPAMINERGIC_SYNAPSE</v>
      </c>
      <c r="C4076" s="4">
        <v>18</v>
      </c>
      <c r="D4076" s="3">
        <v>0.81537764999999995</v>
      </c>
      <c r="E4076" s="1">
        <v>0.71978986</v>
      </c>
      <c r="F4076" s="2">
        <v>0.88624480000000005</v>
      </c>
    </row>
    <row r="4077" spans="1:6" x14ac:dyDescent="0.25">
      <c r="A4077" t="s">
        <v>6</v>
      </c>
      <c r="B4077" s="5" t="str">
        <f>HYPERLINK("http://www.broadinstitute.org/gsea/msigdb/cards/GOBP_PROGRAMMED_CELL_DEATH_INVOLVED_IN_CELL_DEVELOPMENT.html","GOBP_PROGRAMMED_CELL_DEATH_INVOLVED_IN_CELL_DEVELOPMENT")</f>
        <v>GOBP_PROGRAMMED_CELL_DEATH_INVOLVED_IN_CELL_DEVELOPMENT</v>
      </c>
      <c r="C4077" s="4">
        <v>30</v>
      </c>
      <c r="D4077" s="3">
        <v>0.81484650000000003</v>
      </c>
      <c r="E4077" s="1">
        <v>0.7512356</v>
      </c>
      <c r="F4077" s="2">
        <v>0.88693319999999998</v>
      </c>
    </row>
    <row r="4078" spans="1:6" x14ac:dyDescent="0.25">
      <c r="A4078" t="s">
        <v>10</v>
      </c>
      <c r="B4078" s="5" t="str">
        <f>HYPERLINK("http://www.broadinstitute.org/gsea/msigdb/cards/REACTOME_SUMOYLATION_OF_SUMOYLATION_PROTEINS.html","REACTOME_SUMOYLATION_OF_SUMOYLATION_PROTEINS")</f>
        <v>REACTOME_SUMOYLATION_OF_SUMOYLATION_PROTEINS</v>
      </c>
      <c r="C4078" s="4">
        <v>34</v>
      </c>
      <c r="D4078" s="3">
        <v>0.81405919999999998</v>
      </c>
      <c r="E4078" s="1">
        <v>0.74668869999999998</v>
      </c>
      <c r="F4078" s="2">
        <v>0.88811079999999998</v>
      </c>
    </row>
    <row r="4079" spans="1:6" x14ac:dyDescent="0.25">
      <c r="A4079" t="s">
        <v>6</v>
      </c>
      <c r="B4079" s="5" t="str">
        <f>HYPERLINK("http://www.broadinstitute.org/gsea/msigdb/cards/GOBP_HEME_METABOLIC_PROCESS.html","GOBP_HEME_METABOLIC_PROCESS")</f>
        <v>GOBP_HEME_METABOLIC_PROCESS</v>
      </c>
      <c r="C4079" s="4">
        <v>36</v>
      </c>
      <c r="D4079" s="3">
        <v>0.81402540000000001</v>
      </c>
      <c r="E4079" s="1">
        <v>0.75409835999999997</v>
      </c>
      <c r="F4079" s="2">
        <v>0.88794779999999995</v>
      </c>
    </row>
    <row r="4080" spans="1:6" x14ac:dyDescent="0.25">
      <c r="A4080" t="s">
        <v>6</v>
      </c>
      <c r="B4080" s="5" t="str">
        <f>HYPERLINK("http://www.broadinstitute.org/gsea/msigdb/cards/GOBP_DNA_DEALKYLATION.html","GOBP_DNA_DEALKYLATION")</f>
        <v>GOBP_DNA_DEALKYLATION</v>
      </c>
      <c r="C4080" s="4">
        <v>29</v>
      </c>
      <c r="D4080" s="3">
        <v>0.81385739999999995</v>
      </c>
      <c r="E4080" s="1">
        <v>0.75884247000000005</v>
      </c>
      <c r="F4080" s="2">
        <v>0.88802046000000001</v>
      </c>
    </row>
    <row r="4081" spans="1:6" x14ac:dyDescent="0.25">
      <c r="A4081" t="s">
        <v>8</v>
      </c>
      <c r="B4081" s="5" t="str">
        <f>HYPERLINK("http://www.broadinstitute.org/gsea/msigdb/cards/GOMF_PROTEIN_SERINE_THREONINE_KINASE_INHIBITOR_ACTIVITY.html","GOMF_PROTEIN_SERINE_THREONINE_KINASE_INHIBITOR_ACTIVITY")</f>
        <v>GOMF_PROTEIN_SERINE_THREONINE_KINASE_INHIBITOR_ACTIVITY</v>
      </c>
      <c r="C4081" s="4">
        <v>35</v>
      </c>
      <c r="D4081" s="3">
        <v>0.81361859999999997</v>
      </c>
      <c r="E4081" s="1">
        <v>0.79598659999999999</v>
      </c>
      <c r="F4081" s="2">
        <v>0.88822246000000005</v>
      </c>
    </row>
    <row r="4082" spans="1:6" x14ac:dyDescent="0.25">
      <c r="A4082" t="s">
        <v>10</v>
      </c>
      <c r="B4082" s="5" t="str">
        <f>HYPERLINK("http://www.broadinstitute.org/gsea/msigdb/cards/REACTOME_APC_C_CDC20_MEDIATED_DEGRADATION_OF_CYCLIN_B.html","REACTOME_APC_C_CDC20_MEDIATED_DEGRADATION_OF_CYCLIN_B")</f>
        <v>REACTOME_APC_C_CDC20_MEDIATED_DEGRADATION_OF_CYCLIN_B</v>
      </c>
      <c r="C4082" s="4">
        <v>24</v>
      </c>
      <c r="D4082" s="3">
        <v>0.81310879999999996</v>
      </c>
      <c r="E4082" s="1">
        <v>0.75951559999999996</v>
      </c>
      <c r="F4082" s="2">
        <v>0.88887539999999998</v>
      </c>
    </row>
    <row r="4083" spans="1:6" x14ac:dyDescent="0.25">
      <c r="A4083" t="s">
        <v>6</v>
      </c>
      <c r="B4083" s="5" t="str">
        <f>HYPERLINK("http://www.broadinstitute.org/gsea/msigdb/cards/GOBP_POSITIVE_REGULATION_OF_ACTION_POTENTIAL.html","GOBP_POSITIVE_REGULATION_OF_ACTION_POTENTIAL")</f>
        <v>GOBP_POSITIVE_REGULATION_OF_ACTION_POTENTIAL</v>
      </c>
      <c r="C4083" s="4">
        <v>15</v>
      </c>
      <c r="D4083" s="3">
        <v>0.81301944999999998</v>
      </c>
      <c r="E4083" s="1">
        <v>0.74564459999999999</v>
      </c>
      <c r="F4083" s="2">
        <v>0.88881635999999997</v>
      </c>
    </row>
    <row r="4084" spans="1:6" x14ac:dyDescent="0.25">
      <c r="A4084" t="s">
        <v>10</v>
      </c>
      <c r="B4084" s="5" t="str">
        <f>HYPERLINK("http://www.broadinstitute.org/gsea/msigdb/cards/REACTOME_FRS_MEDIATED_FGFR1_SIGNALING.html","REACTOME_FRS_MEDIATED_FGFR1_SIGNALING")</f>
        <v>REACTOME_FRS_MEDIATED_FGFR1_SIGNALING</v>
      </c>
      <c r="C4084" s="4">
        <v>22</v>
      </c>
      <c r="D4084" s="3">
        <v>0.81284719999999999</v>
      </c>
      <c r="E4084" s="1">
        <v>0.72869563000000004</v>
      </c>
      <c r="F4084" s="2">
        <v>0.88889706000000002</v>
      </c>
    </row>
    <row r="4085" spans="1:6" x14ac:dyDescent="0.25">
      <c r="A4085" t="s">
        <v>6</v>
      </c>
      <c r="B4085" s="5" t="str">
        <f>HYPERLINK("http://www.broadinstitute.org/gsea/msigdb/cards/GOBP_FAT_CELL_PROLIFERATION.html","GOBP_FAT_CELL_PROLIFERATION")</f>
        <v>GOBP_FAT_CELL_PROLIFERATION</v>
      </c>
      <c r="C4085" s="4">
        <v>15</v>
      </c>
      <c r="D4085" s="3">
        <v>0.81234930000000005</v>
      </c>
      <c r="E4085" s="1">
        <v>0.69409659999999995</v>
      </c>
      <c r="F4085" s="2">
        <v>0.88952620000000004</v>
      </c>
    </row>
    <row r="4086" spans="1:6" x14ac:dyDescent="0.25">
      <c r="A4086" t="s">
        <v>6</v>
      </c>
      <c r="B4086" s="5" t="str">
        <f>HYPERLINK("http://www.broadinstitute.org/gsea/msigdb/cards/GOBP_RNA_3_END_PROCESSING.html","GOBP_RNA_3_END_PROCESSING")</f>
        <v>GOBP_RNA_3_END_PROCESSING</v>
      </c>
      <c r="C4086" s="4">
        <v>94</v>
      </c>
      <c r="D4086" s="3">
        <v>0.81169057</v>
      </c>
      <c r="E4086" s="1">
        <v>0.83823530000000002</v>
      </c>
      <c r="F4086" s="2">
        <v>0.89043439999999996</v>
      </c>
    </row>
    <row r="4087" spans="1:6" x14ac:dyDescent="0.25">
      <c r="A4087" t="s">
        <v>7</v>
      </c>
      <c r="B4087" s="5" t="str">
        <f>HYPERLINK("http://www.broadinstitute.org/gsea/msigdb/cards/GOCC_PERICENTRIC_HETEROCHROMATIN.html","GOCC_PERICENTRIC_HETEROCHROMATIN")</f>
        <v>GOCC_PERICENTRIC_HETEROCHROMATIN</v>
      </c>
      <c r="C4087" s="4">
        <v>32</v>
      </c>
      <c r="D4087" s="3">
        <v>0.81163479999999999</v>
      </c>
      <c r="E4087" s="1">
        <v>0.75838923000000003</v>
      </c>
      <c r="F4087" s="2">
        <v>0.89031229999999995</v>
      </c>
    </row>
    <row r="4088" spans="1:6" x14ac:dyDescent="0.25">
      <c r="A4088" t="s">
        <v>6</v>
      </c>
      <c r="B4088" s="5" t="str">
        <f>HYPERLINK("http://www.broadinstitute.org/gsea/msigdb/cards/GOBP_DETOXIFICATION.html","GOBP_DETOXIFICATION")</f>
        <v>GOBP_DETOXIFICATION</v>
      </c>
      <c r="C4088" s="4">
        <v>70</v>
      </c>
      <c r="D4088" s="3">
        <v>0.81124589999999996</v>
      </c>
      <c r="E4088" s="1">
        <v>0.82839315999999996</v>
      </c>
      <c r="F4088" s="2">
        <v>0.89074249999999999</v>
      </c>
    </row>
    <row r="4089" spans="1:6" x14ac:dyDescent="0.25">
      <c r="A4089" t="s">
        <v>6</v>
      </c>
      <c r="B4089" s="5" t="str">
        <f>HYPERLINK("http://www.broadinstitute.org/gsea/msigdb/cards/GOBP_DETECTION_OF_VISIBLE_LIGHT.html","GOBP_DETECTION_OF_VISIBLE_LIGHT")</f>
        <v>GOBP_DETECTION_OF_VISIBLE_LIGHT</v>
      </c>
      <c r="C4089" s="4">
        <v>33</v>
      </c>
      <c r="D4089" s="3">
        <v>0.81109666999999996</v>
      </c>
      <c r="E4089" s="1">
        <v>0.76302519999999996</v>
      </c>
      <c r="F4089" s="2">
        <v>0.89078396999999998</v>
      </c>
    </row>
    <row r="4090" spans="1:6" x14ac:dyDescent="0.25">
      <c r="A4090" t="s">
        <v>6</v>
      </c>
      <c r="B4090" s="5" t="str">
        <f>HYPERLINK("http://www.broadinstitute.org/gsea/msigdb/cards/GOBP_NEGATIVE_REGULATION_OF_JUN_KINASE_ACTIVITY.html","GOBP_NEGATIVE_REGULATION_OF_JUN_KINASE_ACTIVITY")</f>
        <v>GOBP_NEGATIVE_REGULATION_OF_JUN_KINASE_ACTIVITY</v>
      </c>
      <c r="C4090" s="4">
        <v>15</v>
      </c>
      <c r="D4090" s="3">
        <v>0.81028699999999998</v>
      </c>
      <c r="E4090" s="1">
        <v>0.72482013999999995</v>
      </c>
      <c r="F4090" s="2">
        <v>0.89193593999999998</v>
      </c>
    </row>
    <row r="4091" spans="1:6" x14ac:dyDescent="0.25">
      <c r="A4091" t="s">
        <v>6</v>
      </c>
      <c r="B4091" s="5" t="str">
        <f>HYPERLINK("http://www.broadinstitute.org/gsea/msigdb/cards/GOBP_MITOCHONDRIAL_DNA_METABOLIC_PROCESS.html","GOBP_MITOCHONDRIAL_DNA_METABOLIC_PROCESS")</f>
        <v>GOBP_MITOCHONDRIAL_DNA_METABOLIC_PROCESS</v>
      </c>
      <c r="C4091" s="4">
        <v>26</v>
      </c>
      <c r="D4091" s="3">
        <v>0.80986780000000003</v>
      </c>
      <c r="E4091" s="1">
        <v>0.75787729999999998</v>
      </c>
      <c r="F4091" s="2">
        <v>0.89242809999999995</v>
      </c>
    </row>
    <row r="4092" spans="1:6" x14ac:dyDescent="0.25">
      <c r="A4092" t="s">
        <v>6</v>
      </c>
      <c r="B4092" s="5" t="str">
        <f>HYPERLINK("http://www.broadinstitute.org/gsea/msigdb/cards/GOBP_REGULATION_OF_TELOMERE_CAPPING.html","GOBP_REGULATION_OF_TELOMERE_CAPPING")</f>
        <v>GOBP_REGULATION_OF_TELOMERE_CAPPING</v>
      </c>
      <c r="C4092" s="4">
        <v>26</v>
      </c>
      <c r="D4092" s="3">
        <v>0.80933540000000004</v>
      </c>
      <c r="E4092" s="1">
        <v>0.76740235000000001</v>
      </c>
      <c r="F4092" s="2">
        <v>0.89311949999999996</v>
      </c>
    </row>
    <row r="4093" spans="1:6" x14ac:dyDescent="0.25">
      <c r="A4093" t="s">
        <v>8</v>
      </c>
      <c r="B4093" s="5" t="str">
        <f>HYPERLINK("http://www.broadinstitute.org/gsea/msigdb/cards/GOMF_K48_LINKED_DEUBIQUITINASE_ACTIVITY.html","GOMF_K48_LINKED_DEUBIQUITINASE_ACTIVITY")</f>
        <v>GOMF_K48_LINKED_DEUBIQUITINASE_ACTIVITY</v>
      </c>
      <c r="C4093" s="4">
        <v>18</v>
      </c>
      <c r="D4093" s="3">
        <v>0.80894900000000003</v>
      </c>
      <c r="E4093" s="1">
        <v>0.74740490000000004</v>
      </c>
      <c r="F4093" s="2">
        <v>0.89356035</v>
      </c>
    </row>
    <row r="4094" spans="1:6" x14ac:dyDescent="0.25">
      <c r="A4094" t="s">
        <v>8</v>
      </c>
      <c r="B4094" s="5" t="str">
        <f>HYPERLINK("http://www.broadinstitute.org/gsea/msigdb/cards/GOMF_MAP_KINASE_KINASE_KINASE_ACTIVITY.html","GOMF_MAP_KINASE_KINASE_KINASE_ACTIVITY")</f>
        <v>GOMF_MAP_KINASE_KINASE_KINASE_ACTIVITY</v>
      </c>
      <c r="C4094" s="4">
        <v>24</v>
      </c>
      <c r="D4094" s="3">
        <v>0.80881714999999998</v>
      </c>
      <c r="E4094" s="1">
        <v>0.74912279999999998</v>
      </c>
      <c r="F4094" s="2">
        <v>0.89355779999999996</v>
      </c>
    </row>
    <row r="4095" spans="1:6" x14ac:dyDescent="0.25">
      <c r="A4095" t="s">
        <v>10</v>
      </c>
      <c r="B4095" s="5" t="str">
        <f>HYPERLINK("http://www.broadinstitute.org/gsea/msigdb/cards/REACTOME_MTOR_SIGNALLING.html","REACTOME_MTOR_SIGNALLING")</f>
        <v>REACTOME_MTOR_SIGNALLING</v>
      </c>
      <c r="C4095" s="4">
        <v>41</v>
      </c>
      <c r="D4095" s="3">
        <v>0.80708354999999998</v>
      </c>
      <c r="E4095" s="1">
        <v>0.79233229999999999</v>
      </c>
      <c r="F4095" s="2">
        <v>0.89627080000000003</v>
      </c>
    </row>
    <row r="4096" spans="1:6" x14ac:dyDescent="0.25">
      <c r="A4096" t="s">
        <v>8</v>
      </c>
      <c r="B4096" s="5" t="str">
        <f>HYPERLINK("http://www.broadinstitute.org/gsea/msigdb/cards/GOMF_SYMPORTER_ACTIVITY.html","GOMF_SYMPORTER_ACTIVITY")</f>
        <v>GOMF_SYMPORTER_ACTIVITY</v>
      </c>
      <c r="C4096" s="4">
        <v>148</v>
      </c>
      <c r="D4096" s="3">
        <v>0.80671762999999996</v>
      </c>
      <c r="E4096" s="1">
        <v>0.89969604999999997</v>
      </c>
      <c r="F4096" s="2">
        <v>0.89664509999999997</v>
      </c>
    </row>
    <row r="4097" spans="1:6" x14ac:dyDescent="0.25">
      <c r="A4097" t="s">
        <v>6</v>
      </c>
      <c r="B4097" s="5" t="str">
        <f>HYPERLINK("http://www.broadinstitute.org/gsea/msigdb/cards/GOBP_TERPENOID_METABOLIC_PROCESS.html","GOBP_TERPENOID_METABOLIC_PROCESS")</f>
        <v>GOBP_TERPENOID_METABOLIC_PROCESS</v>
      </c>
      <c r="C4097" s="4">
        <v>77</v>
      </c>
      <c r="D4097" s="3">
        <v>0.80644190000000004</v>
      </c>
      <c r="E4097" s="1">
        <v>0.84544050000000004</v>
      </c>
      <c r="F4097" s="2">
        <v>0.89687854</v>
      </c>
    </row>
    <row r="4098" spans="1:6" x14ac:dyDescent="0.25">
      <c r="A4098" t="s">
        <v>6</v>
      </c>
      <c r="B4098" s="5" t="str">
        <f>HYPERLINK("http://www.broadinstitute.org/gsea/msigdb/cards/GOBP_REGULATION_OF_ATP_METABOLIC_PROCESS.html","GOBP_REGULATION_OF_ATP_METABOLIC_PROCESS")</f>
        <v>GOBP_REGULATION_OF_ATP_METABOLIC_PROCESS</v>
      </c>
      <c r="C4098" s="4">
        <v>29</v>
      </c>
      <c r="D4098" s="3">
        <v>0.80636512999999999</v>
      </c>
      <c r="E4098" s="1">
        <v>0.79274610000000001</v>
      </c>
      <c r="F4098" s="2">
        <v>0.89678860000000005</v>
      </c>
    </row>
    <row r="4099" spans="1:6" x14ac:dyDescent="0.25">
      <c r="A4099" t="s">
        <v>6</v>
      </c>
      <c r="B4099" s="5" t="str">
        <f>HYPERLINK("http://www.broadinstitute.org/gsea/msigdb/cards/GOBP_CELL_FATE_COMMITMENT_INVOLVED_IN_FORMATION_OF_PRIMARY_GERM_LAYER.html","GOBP_CELL_FATE_COMMITMENT_INVOLVED_IN_FORMATION_OF_PRIMARY_GERM_LAYER")</f>
        <v>GOBP_CELL_FATE_COMMITMENT_INVOLVED_IN_FORMATION_OF_PRIMARY_GERM_LAYER</v>
      </c>
      <c r="C4099" s="4">
        <v>30</v>
      </c>
      <c r="D4099" s="3">
        <v>0.80562219999999996</v>
      </c>
      <c r="E4099" s="1">
        <v>0.76619272999999999</v>
      </c>
      <c r="F4099" s="2">
        <v>0.89781489999999997</v>
      </c>
    </row>
    <row r="4100" spans="1:6" x14ac:dyDescent="0.25">
      <c r="A4100" t="s">
        <v>10</v>
      </c>
      <c r="B4100" s="5" t="str">
        <f>HYPERLINK("http://www.broadinstitute.org/gsea/msigdb/cards/REACTOME_TRANSPORT_OF_VITAMINS_NUCLEOSIDES_AND_RELATED_MOLECULES.html","REACTOME_TRANSPORT_OF_VITAMINS_NUCLEOSIDES_AND_RELATED_MOLECULES")</f>
        <v>REACTOME_TRANSPORT_OF_VITAMINS_NUCLEOSIDES_AND_RELATED_MOLECULES</v>
      </c>
      <c r="C4100" s="4">
        <v>38</v>
      </c>
      <c r="D4100" s="3">
        <v>0.80546870000000004</v>
      </c>
      <c r="E4100" s="1">
        <v>0.78782890000000005</v>
      </c>
      <c r="F4100" s="2">
        <v>0.89785590000000004</v>
      </c>
    </row>
    <row r="4101" spans="1:6" x14ac:dyDescent="0.25">
      <c r="A4101" t="s">
        <v>6</v>
      </c>
      <c r="B4101" s="5" t="str">
        <f>HYPERLINK("http://www.broadinstitute.org/gsea/msigdb/cards/GOBP_NEGATIVE_REGULATION_OF_SODIUM_ION_TRANSMEMBRANE_TRANSPORT.html","GOBP_NEGATIVE_REGULATION_OF_SODIUM_ION_TRANSMEMBRANE_TRANSPORT")</f>
        <v>GOBP_NEGATIVE_REGULATION_OF_SODIUM_ION_TRANSMEMBRANE_TRANSPORT</v>
      </c>
      <c r="C4101" s="4">
        <v>16</v>
      </c>
      <c r="D4101" s="3">
        <v>0.80466459999999995</v>
      </c>
      <c r="E4101" s="1">
        <v>0.7491409</v>
      </c>
      <c r="F4101" s="2">
        <v>0.89896834000000003</v>
      </c>
    </row>
    <row r="4102" spans="1:6" x14ac:dyDescent="0.25">
      <c r="A4102" t="s">
        <v>6</v>
      </c>
      <c r="B4102" s="5" t="str">
        <f>HYPERLINK("http://www.broadinstitute.org/gsea/msigdb/cards/GOBP_POSITIVE_REGULATION_OF_VESICLE_FUSION.html","GOBP_POSITIVE_REGULATION_OF_VESICLE_FUSION")</f>
        <v>GOBP_POSITIVE_REGULATION_OF_VESICLE_FUSION</v>
      </c>
      <c r="C4102" s="4">
        <v>19</v>
      </c>
      <c r="D4102" s="3">
        <v>0.80432099999999995</v>
      </c>
      <c r="E4102" s="1">
        <v>0.74418603999999999</v>
      </c>
      <c r="F4102" s="2">
        <v>0.89933929999999995</v>
      </c>
    </row>
    <row r="4103" spans="1:6" x14ac:dyDescent="0.25">
      <c r="A4103" t="s">
        <v>6</v>
      </c>
      <c r="B4103" s="5" t="str">
        <f>HYPERLINK("http://www.broadinstitute.org/gsea/msigdb/cards/GOBP_REGULATION_OF_PHOSPHOLIPID_TRANSPORT.html","GOBP_REGULATION_OF_PHOSPHOLIPID_TRANSPORT")</f>
        <v>GOBP_REGULATION_OF_PHOSPHOLIPID_TRANSPORT</v>
      </c>
      <c r="C4103" s="4">
        <v>15</v>
      </c>
      <c r="D4103" s="3">
        <v>0.80376773999999995</v>
      </c>
      <c r="E4103" s="1">
        <v>0.7443478</v>
      </c>
      <c r="F4103" s="2">
        <v>0.90003215999999997</v>
      </c>
    </row>
    <row r="4104" spans="1:6" x14ac:dyDescent="0.25">
      <c r="A4104" t="s">
        <v>5</v>
      </c>
      <c r="B4104" s="5" t="str">
        <f>HYPERLINK("http://www.broadinstitute.org/gsea/msigdb/cards/BIOCARTA_MEF2D_PATHWAY.html","BIOCARTA_MEF2D_PATHWAY")</f>
        <v>BIOCARTA_MEF2D_PATHWAY</v>
      </c>
      <c r="C4104" s="4">
        <v>15</v>
      </c>
      <c r="D4104" s="3">
        <v>0.80261355999999995</v>
      </c>
      <c r="E4104" s="1">
        <v>0.76063829999999999</v>
      </c>
      <c r="F4104" s="2">
        <v>0.90167200000000003</v>
      </c>
    </row>
    <row r="4105" spans="1:6" x14ac:dyDescent="0.25">
      <c r="A4105" t="s">
        <v>6</v>
      </c>
      <c r="B4105" s="5" t="str">
        <f>HYPERLINK("http://www.broadinstitute.org/gsea/msigdb/cards/GOBP_POSITIVE_REGULATION_OF_DNA_BIOSYNTHETIC_PROCESS.html","GOBP_POSITIVE_REGULATION_OF_DNA_BIOSYNTHETIC_PROCESS")</f>
        <v>GOBP_POSITIVE_REGULATION_OF_DNA_BIOSYNTHETIC_PROCESS</v>
      </c>
      <c r="C4105" s="4">
        <v>75</v>
      </c>
      <c r="D4105" s="3">
        <v>0.80231273000000003</v>
      </c>
      <c r="E4105" s="1">
        <v>0.83463339999999997</v>
      </c>
      <c r="F4105" s="2">
        <v>0.90192985999999997</v>
      </c>
    </row>
    <row r="4106" spans="1:6" x14ac:dyDescent="0.25">
      <c r="A4106" t="s">
        <v>6</v>
      </c>
      <c r="B4106" s="5" t="str">
        <f>HYPERLINK("http://www.broadinstitute.org/gsea/msigdb/cards/GOBP_POSITIVE_REGULATION_OF_SIGNAL_TRANSDUCTION_BY_P53_CLASS_MEDIATOR.html","GOBP_POSITIVE_REGULATION_OF_SIGNAL_TRANSDUCTION_BY_P53_CLASS_MEDIATOR")</f>
        <v>GOBP_POSITIVE_REGULATION_OF_SIGNAL_TRANSDUCTION_BY_P53_CLASS_MEDIATOR</v>
      </c>
      <c r="C4106" s="4">
        <v>31</v>
      </c>
      <c r="D4106" s="3">
        <v>0.80185704999999996</v>
      </c>
      <c r="E4106" s="1">
        <v>0.77901430000000005</v>
      </c>
      <c r="F4106" s="2">
        <v>0.90242299999999998</v>
      </c>
    </row>
    <row r="4107" spans="1:6" x14ac:dyDescent="0.25">
      <c r="A4107" t="s">
        <v>6</v>
      </c>
      <c r="B4107" s="5" t="str">
        <f>HYPERLINK("http://www.broadinstitute.org/gsea/msigdb/cards/GOBP_NUCLEOSIDE_BISPHOSPHATE_BIOSYNTHETIC_PROCESS.html","GOBP_NUCLEOSIDE_BISPHOSPHATE_BIOSYNTHETIC_PROCESS")</f>
        <v>GOBP_NUCLEOSIDE_BISPHOSPHATE_BIOSYNTHETIC_PROCESS</v>
      </c>
      <c r="C4107" s="4">
        <v>39</v>
      </c>
      <c r="D4107" s="3">
        <v>0.80185379999999995</v>
      </c>
      <c r="E4107" s="1">
        <v>0.81157020000000002</v>
      </c>
      <c r="F4107" s="2">
        <v>0.90220750000000005</v>
      </c>
    </row>
    <row r="4108" spans="1:6" x14ac:dyDescent="0.25">
      <c r="A4108" t="s">
        <v>7</v>
      </c>
      <c r="B4108" s="5" t="str">
        <f>HYPERLINK("http://www.broadinstitute.org/gsea/msigdb/cards/GOCC_MICROBODY_LUMEN.html","GOCC_MICROBODY_LUMEN")</f>
        <v>GOCC_MICROBODY_LUMEN</v>
      </c>
      <c r="C4108" s="4">
        <v>29</v>
      </c>
      <c r="D4108" s="3">
        <v>0.8009889</v>
      </c>
      <c r="E4108" s="1">
        <v>0.76222599999999996</v>
      </c>
      <c r="F4108" s="2">
        <v>0.90339314999999998</v>
      </c>
    </row>
    <row r="4109" spans="1:6" x14ac:dyDescent="0.25">
      <c r="A4109" t="s">
        <v>6</v>
      </c>
      <c r="B4109" s="5" t="str">
        <f>HYPERLINK("http://www.broadinstitute.org/gsea/msigdb/cards/GOBP_GLUCOCORTICOID_METABOLIC_PROCESS.html","GOBP_GLUCOCORTICOID_METABOLIC_PROCESS")</f>
        <v>GOBP_GLUCOCORTICOID_METABOLIC_PROCESS</v>
      </c>
      <c r="C4109" s="4">
        <v>24</v>
      </c>
      <c r="D4109" s="3">
        <v>0.80095415999999997</v>
      </c>
      <c r="E4109" s="1">
        <v>0.74067499999999997</v>
      </c>
      <c r="F4109" s="2">
        <v>0.90322864000000003</v>
      </c>
    </row>
    <row r="4110" spans="1:6" x14ac:dyDescent="0.25">
      <c r="A4110" t="s">
        <v>6</v>
      </c>
      <c r="B4110" s="5" t="str">
        <f>HYPERLINK("http://www.broadinstitute.org/gsea/msigdb/cards/GOBP_EXOCRINE_SYSTEM_DEVELOPMENT.html","GOBP_EXOCRINE_SYSTEM_DEVELOPMENT")</f>
        <v>GOBP_EXOCRINE_SYSTEM_DEVELOPMENT</v>
      </c>
      <c r="C4110" s="4">
        <v>52</v>
      </c>
      <c r="D4110" s="3">
        <v>0.8007071</v>
      </c>
      <c r="E4110" s="1">
        <v>0.83442620000000001</v>
      </c>
      <c r="F4110" s="2">
        <v>0.90339749999999996</v>
      </c>
    </row>
    <row r="4111" spans="1:6" x14ac:dyDescent="0.25">
      <c r="A4111" t="s">
        <v>6</v>
      </c>
      <c r="B4111" s="5" t="str">
        <f>HYPERLINK("http://www.broadinstitute.org/gsea/msigdb/cards/GOBP_POSITIVE_REGULATION_OF_MITOTIC_SISTER_CHROMATID_SEPARATION.html","GOBP_POSITIVE_REGULATION_OF_MITOTIC_SISTER_CHROMATID_SEPARATION")</f>
        <v>GOBP_POSITIVE_REGULATION_OF_MITOTIC_SISTER_CHROMATID_SEPARATION</v>
      </c>
      <c r="C4111" s="4">
        <v>18</v>
      </c>
      <c r="D4111" s="3">
        <v>0.79933319999999997</v>
      </c>
      <c r="E4111" s="1">
        <v>0.75622772999999999</v>
      </c>
      <c r="F4111" s="2">
        <v>0.90539753000000001</v>
      </c>
    </row>
    <row r="4112" spans="1:6" x14ac:dyDescent="0.25">
      <c r="A4112" t="s">
        <v>8</v>
      </c>
      <c r="B4112" s="5" t="str">
        <f>HYPERLINK("http://www.broadinstitute.org/gsea/msigdb/cards/GOMF_PROTEIN_KINASE_B_BINDING.html","GOMF_PROTEIN_KINASE_B_BINDING")</f>
        <v>GOMF_PROTEIN_KINASE_B_BINDING</v>
      </c>
      <c r="C4112" s="4">
        <v>17</v>
      </c>
      <c r="D4112" s="3">
        <v>0.79932380000000003</v>
      </c>
      <c r="E4112" s="1">
        <v>0.73513514000000002</v>
      </c>
      <c r="F4112" s="2">
        <v>0.90519519999999998</v>
      </c>
    </row>
    <row r="4113" spans="1:6" x14ac:dyDescent="0.25">
      <c r="A4113" t="s">
        <v>6</v>
      </c>
      <c r="B4113" s="5" t="str">
        <f>HYPERLINK("http://www.broadinstitute.org/gsea/msigdb/cards/GOBP_POSITIVE_REGULATION_OF_PROTEIN_EXPORT_FROM_NUCLEUS.html","GOBP_POSITIVE_REGULATION_OF_PROTEIN_EXPORT_FROM_NUCLEUS")</f>
        <v>GOBP_POSITIVE_REGULATION_OF_PROTEIN_EXPORT_FROM_NUCLEUS</v>
      </c>
      <c r="C4113" s="4">
        <v>20</v>
      </c>
      <c r="D4113" s="3">
        <v>0.79909479999999999</v>
      </c>
      <c r="E4113" s="1">
        <v>0.75526744000000001</v>
      </c>
      <c r="F4113" s="2">
        <v>0.90536510000000003</v>
      </c>
    </row>
    <row r="4114" spans="1:6" x14ac:dyDescent="0.25">
      <c r="A4114" t="s">
        <v>6</v>
      </c>
      <c r="B4114" s="5" t="str">
        <f>HYPERLINK("http://www.broadinstitute.org/gsea/msigdb/cards/GOBP_REGULATION_OF_DNA_CATABOLIC_PROCESS.html","GOBP_REGULATION_OF_DNA_CATABOLIC_PROCESS")</f>
        <v>GOBP_REGULATION_OF_DNA_CATABOLIC_PROCESS</v>
      </c>
      <c r="C4114" s="4">
        <v>15</v>
      </c>
      <c r="D4114" s="3">
        <v>0.79786060000000003</v>
      </c>
      <c r="E4114" s="1">
        <v>0.7637931</v>
      </c>
      <c r="F4114" s="2">
        <v>0.90714704999999995</v>
      </c>
    </row>
    <row r="4115" spans="1:6" x14ac:dyDescent="0.25">
      <c r="A4115" t="s">
        <v>6</v>
      </c>
      <c r="B4115" s="5" t="str">
        <f>HYPERLINK("http://www.broadinstitute.org/gsea/msigdb/cards/GOBP_NEGATIVE_REGULATION_OF_PEPTIDYL_THREONINE_PHOSPHORYLATION.html","GOBP_NEGATIVE_REGULATION_OF_PEPTIDYL_THREONINE_PHOSPHORYLATION")</f>
        <v>GOBP_NEGATIVE_REGULATION_OF_PEPTIDYL_THREONINE_PHOSPHORYLATION</v>
      </c>
      <c r="C4115" s="4">
        <v>19</v>
      </c>
      <c r="D4115" s="3">
        <v>0.79728204000000003</v>
      </c>
      <c r="E4115" s="1">
        <v>0.77312389999999998</v>
      </c>
      <c r="F4115" s="2">
        <v>0.90783259999999999</v>
      </c>
    </row>
    <row r="4116" spans="1:6" x14ac:dyDescent="0.25">
      <c r="A4116" t="s">
        <v>7</v>
      </c>
      <c r="B4116" s="5" t="str">
        <f>HYPERLINK("http://www.broadinstitute.org/gsea/msigdb/cards/GOCC_SPINDLE_POLE.html","GOCC_SPINDLE_POLE")</f>
        <v>GOCC_SPINDLE_POLE</v>
      </c>
      <c r="C4116" s="4">
        <v>146</v>
      </c>
      <c r="D4116" s="3">
        <v>0.79676740000000001</v>
      </c>
      <c r="E4116" s="1">
        <v>0.90331890000000004</v>
      </c>
      <c r="F4116" s="2">
        <v>0.90844510000000001</v>
      </c>
    </row>
    <row r="4117" spans="1:6" x14ac:dyDescent="0.25">
      <c r="A4117" t="s">
        <v>7</v>
      </c>
      <c r="B4117" s="5" t="str">
        <f>HYPERLINK("http://www.broadinstitute.org/gsea/msigdb/cards/GOCC_PRESYNAPTIC_ACTIVE_ZONE_CYTOPLASMIC_COMPONENT.html","GOCC_PRESYNAPTIC_ACTIVE_ZONE_CYTOPLASMIC_COMPONENT")</f>
        <v>GOCC_PRESYNAPTIC_ACTIVE_ZONE_CYTOPLASMIC_COMPONENT</v>
      </c>
      <c r="C4117" s="4">
        <v>22</v>
      </c>
      <c r="D4117" s="3">
        <v>0.79555949999999998</v>
      </c>
      <c r="E4117" s="1">
        <v>0.78283714999999998</v>
      </c>
      <c r="F4117" s="2">
        <v>0.91009640000000003</v>
      </c>
    </row>
    <row r="4118" spans="1:6" x14ac:dyDescent="0.25">
      <c r="A4118" t="s">
        <v>6</v>
      </c>
      <c r="B4118" s="5" t="str">
        <f>HYPERLINK("http://www.broadinstitute.org/gsea/msigdb/cards/GOBP_TERTIARY_ALCOHOL_METABOLIC_PROCESS.html","GOBP_TERTIARY_ALCOHOL_METABOLIC_PROCESS")</f>
        <v>GOBP_TERTIARY_ALCOHOL_METABOLIC_PROCESS</v>
      </c>
      <c r="C4118" s="4">
        <v>23</v>
      </c>
      <c r="D4118" s="3">
        <v>0.79522170000000003</v>
      </c>
      <c r="E4118" s="1">
        <v>0.75517243000000001</v>
      </c>
      <c r="F4118" s="2">
        <v>0.91040860000000001</v>
      </c>
    </row>
    <row r="4119" spans="1:6" x14ac:dyDescent="0.25">
      <c r="A4119" t="s">
        <v>6</v>
      </c>
      <c r="B4119" s="5" t="str">
        <f>HYPERLINK("http://www.broadinstitute.org/gsea/msigdb/cards/GOBP_REGULATION_OF_DNA_TEMPLATED_TRANSCRIPTION_ELONGATION.html","GOBP_REGULATION_OF_DNA_TEMPLATED_TRANSCRIPTION_ELONGATION")</f>
        <v>GOBP_REGULATION_OF_DNA_TEMPLATED_TRANSCRIPTION_ELONGATION</v>
      </c>
      <c r="C4119" s="4">
        <v>85</v>
      </c>
      <c r="D4119" s="3">
        <v>0.79508939999999995</v>
      </c>
      <c r="E4119" s="1">
        <v>0.87864819999999999</v>
      </c>
      <c r="F4119" s="2">
        <v>0.91040874000000005</v>
      </c>
    </row>
    <row r="4120" spans="1:6" x14ac:dyDescent="0.25">
      <c r="A4120" t="s">
        <v>10</v>
      </c>
      <c r="B4120" s="5" t="str">
        <f>HYPERLINK("http://www.broadinstitute.org/gsea/msigdb/cards/REACTOME_ACYL_CHAIN_REMODELLING_OF_PS.html","REACTOME_ACYL_CHAIN_REMODELLING_OF_PS")</f>
        <v>REACTOME_ACYL_CHAIN_REMODELLING_OF_PS</v>
      </c>
      <c r="C4120" s="4">
        <v>20</v>
      </c>
      <c r="D4120" s="3">
        <v>0.79424930000000005</v>
      </c>
      <c r="E4120" s="1">
        <v>0.74700856000000004</v>
      </c>
      <c r="F4120" s="2">
        <v>0.91149396000000005</v>
      </c>
    </row>
    <row r="4121" spans="1:6" x14ac:dyDescent="0.25">
      <c r="A4121" t="s">
        <v>10</v>
      </c>
      <c r="B4121" s="5" t="str">
        <f>HYPERLINK("http://www.broadinstitute.org/gsea/msigdb/cards/REACTOME_PEROXISOMAL_PROTEIN_IMPORT.html","REACTOME_PEROXISOMAL_PROTEIN_IMPORT")</f>
        <v>REACTOME_PEROXISOMAL_PROTEIN_IMPORT</v>
      </c>
      <c r="C4121" s="4">
        <v>65</v>
      </c>
      <c r="D4121" s="3">
        <v>0.79405720000000002</v>
      </c>
      <c r="E4121" s="1">
        <v>0.84394899999999995</v>
      </c>
      <c r="F4121" s="2">
        <v>0.91157809999999995</v>
      </c>
    </row>
    <row r="4122" spans="1:6" x14ac:dyDescent="0.25">
      <c r="A4122" t="s">
        <v>6</v>
      </c>
      <c r="B4122" s="5" t="str">
        <f>HYPERLINK("http://www.broadinstitute.org/gsea/msigdb/cards/GOBP_NEGATIVE_REGULATION_OF_AMYLOID_PRECURSOR_PROTEIN_CATABOLIC_PROCESS.html","GOBP_NEGATIVE_REGULATION_OF_AMYLOID_PRECURSOR_PROTEIN_CATABOLIC_PROCESS")</f>
        <v>GOBP_NEGATIVE_REGULATION_OF_AMYLOID_PRECURSOR_PROTEIN_CATABOLIC_PROCESS</v>
      </c>
      <c r="C4122" s="4">
        <v>22</v>
      </c>
      <c r="D4122" s="3">
        <v>0.79389155</v>
      </c>
      <c r="E4122" s="1">
        <v>0.78645830000000005</v>
      </c>
      <c r="F4122" s="2">
        <v>0.91161060000000005</v>
      </c>
    </row>
    <row r="4123" spans="1:6" x14ac:dyDescent="0.25">
      <c r="A4123" t="s">
        <v>8</v>
      </c>
      <c r="B4123" s="5" t="str">
        <f>HYPERLINK("http://www.broadinstitute.org/gsea/msigdb/cards/GOMF_LONG_CHAIN_FATTY_ACID_TRANSPORTER_ACTIVITY.html","GOMF_LONG_CHAIN_FATTY_ACID_TRANSPORTER_ACTIVITY")</f>
        <v>GOMF_LONG_CHAIN_FATTY_ACID_TRANSPORTER_ACTIVITY</v>
      </c>
      <c r="C4123" s="4">
        <v>19</v>
      </c>
      <c r="D4123" s="3">
        <v>0.79314819999999997</v>
      </c>
      <c r="E4123" s="1">
        <v>0.76923079999999999</v>
      </c>
      <c r="F4123" s="2">
        <v>0.91251755000000001</v>
      </c>
    </row>
    <row r="4124" spans="1:6" x14ac:dyDescent="0.25">
      <c r="A4124" t="s">
        <v>10</v>
      </c>
      <c r="B4124" s="5" t="str">
        <f>HYPERLINK("http://www.broadinstitute.org/gsea/msigdb/cards/REACTOME_A_TETRASACCHARIDE_LINKER_SEQUENCE_IS_REQUIRED_FOR_GAG_SYNTHESIS.html","REACTOME_A_TETRASACCHARIDE_LINKER_SEQUENCE_IS_REQUIRED_FOR_GAG_SYNTHESIS")</f>
        <v>REACTOME_A_TETRASACCHARIDE_LINKER_SEQUENCE_IS_REQUIRED_FOR_GAG_SYNTHESIS</v>
      </c>
      <c r="C4124" s="4">
        <v>24</v>
      </c>
      <c r="D4124" s="3">
        <v>0.79314565999999997</v>
      </c>
      <c r="E4124" s="1">
        <v>0.77946126000000004</v>
      </c>
      <c r="F4124" s="2">
        <v>0.91229959999999999</v>
      </c>
    </row>
    <row r="4125" spans="1:6" x14ac:dyDescent="0.25">
      <c r="A4125" t="s">
        <v>8</v>
      </c>
      <c r="B4125" s="5" t="str">
        <f>HYPERLINK("http://www.broadinstitute.org/gsea/msigdb/cards/GOMF_KINESIN_BINDING.html","GOMF_KINESIN_BINDING")</f>
        <v>GOMF_KINESIN_BINDING</v>
      </c>
      <c r="C4125" s="4">
        <v>53</v>
      </c>
      <c r="D4125" s="3">
        <v>0.79304229999999998</v>
      </c>
      <c r="E4125" s="1">
        <v>0.80952380000000002</v>
      </c>
      <c r="F4125" s="2">
        <v>0.91224474</v>
      </c>
    </row>
    <row r="4126" spans="1:6" x14ac:dyDescent="0.25">
      <c r="A4126" t="s">
        <v>8</v>
      </c>
      <c r="B4126" s="5" t="str">
        <f>HYPERLINK("http://www.broadinstitute.org/gsea/msigdb/cards/GOMF_ATPASE_COUPLED_TRANSMEMBRANE_TRANSPORTER_ACTIVITY.html","GOMF_ATPASE_COUPLED_TRANSMEMBRANE_TRANSPORTER_ACTIVITY")</f>
        <v>GOMF_ATPASE_COUPLED_TRANSMEMBRANE_TRANSPORTER_ACTIVITY</v>
      </c>
      <c r="C4126" s="4">
        <v>106</v>
      </c>
      <c r="D4126" s="3">
        <v>0.79276089999999999</v>
      </c>
      <c r="E4126" s="1">
        <v>0.90697676000000005</v>
      </c>
      <c r="F4126" s="2">
        <v>0.91246609999999995</v>
      </c>
    </row>
    <row r="4127" spans="1:6" x14ac:dyDescent="0.25">
      <c r="A4127" t="s">
        <v>6</v>
      </c>
      <c r="B4127" s="5" t="str">
        <f>HYPERLINK("http://www.broadinstitute.org/gsea/msigdb/cards/GOBP_AXON_ENSHEATHMENT_IN_CENTRAL_NERVOUS_SYSTEM.html","GOBP_AXON_ENSHEATHMENT_IN_CENTRAL_NERVOUS_SYSTEM")</f>
        <v>GOBP_AXON_ENSHEATHMENT_IN_CENTRAL_NERVOUS_SYSTEM</v>
      </c>
      <c r="C4127" s="4">
        <v>29</v>
      </c>
      <c r="D4127" s="3">
        <v>0.79237603999999995</v>
      </c>
      <c r="E4127" s="1">
        <v>0.78313255000000004</v>
      </c>
      <c r="F4127" s="2">
        <v>0.91282885999999996</v>
      </c>
    </row>
    <row r="4128" spans="1:6" x14ac:dyDescent="0.25">
      <c r="A4128" t="s">
        <v>8</v>
      </c>
      <c r="B4128" s="5" t="str">
        <f>HYPERLINK("http://www.broadinstitute.org/gsea/msigdb/cards/GOMF_SOLUTE_MONOATOMIC_CATION_SYMPORTER_ACTIVITY.html","GOMF_SOLUTE_MONOATOMIC_CATION_SYMPORTER_ACTIVITY")</f>
        <v>GOMF_SOLUTE_MONOATOMIC_CATION_SYMPORTER_ACTIVITY</v>
      </c>
      <c r="C4128" s="4">
        <v>112</v>
      </c>
      <c r="D4128" s="3">
        <v>0.79235095</v>
      </c>
      <c r="E4128" s="1">
        <v>0.90312963999999996</v>
      </c>
      <c r="F4128" s="2">
        <v>0.91265076000000001</v>
      </c>
    </row>
    <row r="4129" spans="1:6" x14ac:dyDescent="0.25">
      <c r="A4129" t="s">
        <v>10</v>
      </c>
      <c r="B4129" s="5" t="str">
        <f>HYPERLINK("http://www.broadinstitute.org/gsea/msigdb/cards/REACTOME_XENOBIOTICS.html","REACTOME_XENOBIOTICS")</f>
        <v>REACTOME_XENOBIOTICS</v>
      </c>
      <c r="C4129" s="4">
        <v>24</v>
      </c>
      <c r="D4129" s="3">
        <v>0.79215619999999998</v>
      </c>
      <c r="E4129" s="1">
        <v>0.76858110000000002</v>
      </c>
      <c r="F4129" s="2">
        <v>0.91273459999999995</v>
      </c>
    </row>
    <row r="4130" spans="1:6" x14ac:dyDescent="0.25">
      <c r="A4130" t="s">
        <v>6</v>
      </c>
      <c r="B4130" s="5" t="str">
        <f>HYPERLINK("http://www.broadinstitute.org/gsea/msigdb/cards/GOBP_REGULATION_OF_KETONE_BIOSYNTHETIC_PROCESS.html","GOBP_REGULATION_OF_KETONE_BIOSYNTHETIC_PROCESS")</f>
        <v>GOBP_REGULATION_OF_KETONE_BIOSYNTHETIC_PROCESS</v>
      </c>
      <c r="C4130" s="4">
        <v>26</v>
      </c>
      <c r="D4130" s="3">
        <v>0.79202600000000001</v>
      </c>
      <c r="E4130" s="1">
        <v>0.77355370000000001</v>
      </c>
      <c r="F4130" s="2">
        <v>0.91270320000000005</v>
      </c>
    </row>
    <row r="4131" spans="1:6" x14ac:dyDescent="0.25">
      <c r="A4131" t="s">
        <v>6</v>
      </c>
      <c r="B4131" s="5" t="str">
        <f>HYPERLINK("http://www.broadinstitute.org/gsea/msigdb/cards/GOBP_REGULATION_OF_HISTONE_MODIFICATION.html","GOBP_REGULATION_OF_HISTONE_MODIFICATION")</f>
        <v>GOBP_REGULATION_OF_HISTONE_MODIFICATION</v>
      </c>
      <c r="C4131" s="4">
        <v>43</v>
      </c>
      <c r="D4131" s="3">
        <v>0.79170200000000002</v>
      </c>
      <c r="E4131" s="1">
        <v>0.80373830000000002</v>
      </c>
      <c r="F4131" s="2">
        <v>0.91297189999999995</v>
      </c>
    </row>
    <row r="4132" spans="1:6" x14ac:dyDescent="0.25">
      <c r="A4132" t="s">
        <v>6</v>
      </c>
      <c r="B4132" s="5" t="str">
        <f>HYPERLINK("http://www.broadinstitute.org/gsea/msigdb/cards/GOBP_REGULATION_OF_NEUROTRANSMITTER_UPTAKE.html","GOBP_REGULATION_OF_NEUROTRANSMITTER_UPTAKE")</f>
        <v>GOBP_REGULATION_OF_NEUROTRANSMITTER_UPTAKE</v>
      </c>
      <c r="C4132" s="4">
        <v>20</v>
      </c>
      <c r="D4132" s="3">
        <v>0.79160494000000003</v>
      </c>
      <c r="E4132" s="1">
        <v>0.79396986999999997</v>
      </c>
      <c r="F4132" s="2">
        <v>0.91289496000000003</v>
      </c>
    </row>
    <row r="4133" spans="1:6" x14ac:dyDescent="0.25">
      <c r="A4133" t="s">
        <v>6</v>
      </c>
      <c r="B4133" s="5" t="str">
        <f>HYPERLINK("http://www.broadinstitute.org/gsea/msigdb/cards/GOBP_REGULATION_OF_RECEPTOR_CLUSTERING.html","GOBP_REGULATION_OF_RECEPTOR_CLUSTERING")</f>
        <v>GOBP_REGULATION_OF_RECEPTOR_CLUSTERING</v>
      </c>
      <c r="C4133" s="4">
        <v>23</v>
      </c>
      <c r="D4133" s="3">
        <v>0.79128366999999999</v>
      </c>
      <c r="E4133" s="1">
        <v>0.78305084000000003</v>
      </c>
      <c r="F4133" s="2">
        <v>0.91315484000000002</v>
      </c>
    </row>
    <row r="4134" spans="1:6" x14ac:dyDescent="0.25">
      <c r="A4134" t="s">
        <v>6</v>
      </c>
      <c r="B4134" s="5" t="str">
        <f>HYPERLINK("http://www.broadinstitute.org/gsea/msigdb/cards/GOBP_REGULATION_OF_CAMP_MEDIATED_SIGNALING.html","GOBP_REGULATION_OF_CAMP_MEDIATED_SIGNALING")</f>
        <v>GOBP_REGULATION_OF_CAMP_MEDIATED_SIGNALING</v>
      </c>
      <c r="C4134" s="4">
        <v>43</v>
      </c>
      <c r="D4134" s="3">
        <v>0.79086816000000004</v>
      </c>
      <c r="E4134" s="1">
        <v>0.81280786000000005</v>
      </c>
      <c r="F4134" s="2">
        <v>0.91358300000000003</v>
      </c>
    </row>
    <row r="4135" spans="1:6" x14ac:dyDescent="0.25">
      <c r="A4135" t="s">
        <v>11</v>
      </c>
      <c r="B4135" s="5" t="str">
        <f>HYPERLINK("http://www.broadinstitute.org/gsea/msigdb/cards/WP_METAPATHWAY_BIOTRANSFORMATION.html","WP_METAPATHWAY_BIOTRANSFORMATION")</f>
        <v>WP_METAPATHWAY_BIOTRANSFORMATION</v>
      </c>
      <c r="C4135" s="4">
        <v>130</v>
      </c>
      <c r="D4135" s="3">
        <v>0.79079270000000002</v>
      </c>
      <c r="E4135" s="1">
        <v>0.91014490000000003</v>
      </c>
      <c r="F4135" s="2">
        <v>0.91348415999999999</v>
      </c>
    </row>
    <row r="4136" spans="1:6" x14ac:dyDescent="0.25">
      <c r="A4136" t="s">
        <v>10</v>
      </c>
      <c r="B4136" s="5" t="str">
        <f>HYPERLINK("http://www.broadinstitute.org/gsea/msigdb/cards/REACTOME_RHOBTB1_GTPASE_CYCLE.html","REACTOME_RHOBTB1_GTPASE_CYCLE")</f>
        <v>REACTOME_RHOBTB1_GTPASE_CYCLE</v>
      </c>
      <c r="C4136" s="4">
        <v>22</v>
      </c>
      <c r="D4136" s="3">
        <v>0.79051309999999997</v>
      </c>
      <c r="E4136" s="1">
        <v>0.78868550000000004</v>
      </c>
      <c r="F4136" s="2">
        <v>0.91369003000000004</v>
      </c>
    </row>
    <row r="4137" spans="1:6" x14ac:dyDescent="0.25">
      <c r="A4137" t="s">
        <v>6</v>
      </c>
      <c r="B4137" s="5" t="str">
        <f>HYPERLINK("http://www.broadinstitute.org/gsea/msigdb/cards/GOBP_AMINO_ACID_CATABOLIC_PROCESS.html","GOBP_AMINO_ACID_CATABOLIC_PROCESS")</f>
        <v>GOBP_AMINO_ACID_CATABOLIC_PROCESS</v>
      </c>
      <c r="C4137" s="4">
        <v>93</v>
      </c>
      <c r="D4137" s="3">
        <v>0.79011100000000001</v>
      </c>
      <c r="E4137" s="1">
        <v>0.89324963000000002</v>
      </c>
      <c r="F4137" s="2">
        <v>0.91408979999999995</v>
      </c>
    </row>
    <row r="4138" spans="1:6" x14ac:dyDescent="0.25">
      <c r="A4138" t="s">
        <v>6</v>
      </c>
      <c r="B4138" s="5" t="str">
        <f>HYPERLINK("http://www.broadinstitute.org/gsea/msigdb/cards/GOBP_POSITIVE_REGULATION_OF_CIRCADIAN_RHYTHM.html","GOBP_POSITIVE_REGULATION_OF_CIRCADIAN_RHYTHM")</f>
        <v>GOBP_POSITIVE_REGULATION_OF_CIRCADIAN_RHYTHM</v>
      </c>
      <c r="C4138" s="4">
        <v>27</v>
      </c>
      <c r="D4138" s="3">
        <v>0.78967160000000003</v>
      </c>
      <c r="E4138" s="1">
        <v>0.76923079999999999</v>
      </c>
      <c r="F4138" s="2">
        <v>0.91452489999999997</v>
      </c>
    </row>
    <row r="4139" spans="1:6" x14ac:dyDescent="0.25">
      <c r="A4139" t="s">
        <v>10</v>
      </c>
      <c r="B4139" s="5" t="str">
        <f>HYPERLINK("http://www.broadinstitute.org/gsea/msigdb/cards/REACTOME_PI_3K_CASCADE_FGFR1.html","REACTOME_PI_3K_CASCADE_FGFR1")</f>
        <v>REACTOME_PI_3K_CASCADE_FGFR1</v>
      </c>
      <c r="C4139" s="4">
        <v>21</v>
      </c>
      <c r="D4139" s="3">
        <v>0.78965616000000005</v>
      </c>
      <c r="E4139" s="1">
        <v>0.77007300000000001</v>
      </c>
      <c r="F4139" s="2">
        <v>0.91432696999999996</v>
      </c>
    </row>
    <row r="4140" spans="1:6" x14ac:dyDescent="0.25">
      <c r="A4140" t="s">
        <v>6</v>
      </c>
      <c r="B4140" s="5" t="str">
        <f>HYPERLINK("http://www.broadinstitute.org/gsea/msigdb/cards/GOBP_HYALURONAN_CATABOLIC_PROCESS.html","GOBP_HYALURONAN_CATABOLIC_PROCESS")</f>
        <v>GOBP_HYALURONAN_CATABOLIC_PROCESS</v>
      </c>
      <c r="C4140" s="4">
        <v>17</v>
      </c>
      <c r="D4140" s="3">
        <v>0.78942597000000003</v>
      </c>
      <c r="E4140" s="1">
        <v>0.75736570000000003</v>
      </c>
      <c r="F4140" s="2">
        <v>0.91444800000000004</v>
      </c>
    </row>
    <row r="4141" spans="1:6" x14ac:dyDescent="0.25">
      <c r="A4141" t="s">
        <v>8</v>
      </c>
      <c r="B4141" s="5" t="str">
        <f>HYPERLINK("http://www.broadinstitute.org/gsea/msigdb/cards/GOMF_SODIUM_INDEPENDENT_ORGANIC_ANION_TRANSMEMBRANE_TRANSPORTER_ACTIVITY.html","GOMF_SODIUM_INDEPENDENT_ORGANIC_ANION_TRANSMEMBRANE_TRANSPORTER_ACTIVITY")</f>
        <v>GOMF_SODIUM_INDEPENDENT_ORGANIC_ANION_TRANSMEMBRANE_TRANSPORTER_ACTIVITY</v>
      </c>
      <c r="C4141" s="4">
        <v>17</v>
      </c>
      <c r="D4141" s="3">
        <v>0.78903749999999995</v>
      </c>
      <c r="E4141" s="1">
        <v>0.77108429999999994</v>
      </c>
      <c r="F4141" s="2">
        <v>0.91480819999999996</v>
      </c>
    </row>
    <row r="4142" spans="1:6" x14ac:dyDescent="0.25">
      <c r="A4142" t="s">
        <v>6</v>
      </c>
      <c r="B4142" s="5" t="str">
        <f>HYPERLINK("http://www.broadinstitute.org/gsea/msigdb/cards/GOBP_POSITIVE_REGULATION_OF_EPITHELIAL_CELL_DIFFERENTIATION.html","GOBP_POSITIVE_REGULATION_OF_EPITHELIAL_CELL_DIFFERENTIATION")</f>
        <v>GOBP_POSITIVE_REGULATION_OF_EPITHELIAL_CELL_DIFFERENTIATION</v>
      </c>
      <c r="C4142" s="4">
        <v>63</v>
      </c>
      <c r="D4142" s="3">
        <v>0.78894500000000001</v>
      </c>
      <c r="E4142" s="1">
        <v>0.86129034000000004</v>
      </c>
      <c r="F4142" s="2">
        <v>0.91472180000000003</v>
      </c>
    </row>
    <row r="4143" spans="1:6" x14ac:dyDescent="0.25">
      <c r="A4143" t="s">
        <v>11</v>
      </c>
      <c r="B4143" s="5" t="str">
        <f>HYPERLINK("http://www.broadinstitute.org/gsea/msigdb/cards/WP_STATIN_PATHWAY.html","WP_STATIN_PATHWAY")</f>
        <v>WP_STATIN_PATHWAY</v>
      </c>
      <c r="C4143" s="4">
        <v>19</v>
      </c>
      <c r="D4143" s="3">
        <v>0.78830480000000003</v>
      </c>
      <c r="E4143" s="1">
        <v>0.77137869999999997</v>
      </c>
      <c r="F4143" s="2">
        <v>0.91546833999999999</v>
      </c>
    </row>
    <row r="4144" spans="1:6" x14ac:dyDescent="0.25">
      <c r="A4144" t="s">
        <v>6</v>
      </c>
      <c r="B4144" s="5" t="str">
        <f>HYPERLINK("http://www.broadinstitute.org/gsea/msigdb/cards/GOBP_NEGATIVE_REGULATION_OF_NEURON_PROJECTION_REGENERATION.html","GOBP_NEGATIVE_REGULATION_OF_NEURON_PROJECTION_REGENERATION")</f>
        <v>GOBP_NEGATIVE_REGULATION_OF_NEURON_PROJECTION_REGENERATION</v>
      </c>
      <c r="C4144" s="4">
        <v>18</v>
      </c>
      <c r="D4144" s="3">
        <v>0.78739524000000005</v>
      </c>
      <c r="E4144" s="1">
        <v>0.75</v>
      </c>
      <c r="F4144" s="2">
        <v>0.91659550000000001</v>
      </c>
    </row>
    <row r="4145" spans="1:6" x14ac:dyDescent="0.25">
      <c r="A4145" t="s">
        <v>6</v>
      </c>
      <c r="B4145" s="5" t="str">
        <f>HYPERLINK("http://www.broadinstitute.org/gsea/msigdb/cards/GOBP_REGULATION_OF_DNA_TEMPLATED_TRANSCRIPTION_INITIATION.html","GOBP_REGULATION_OF_DNA_TEMPLATED_TRANSCRIPTION_INITIATION")</f>
        <v>GOBP_REGULATION_OF_DNA_TEMPLATED_TRANSCRIPTION_INITIATION</v>
      </c>
      <c r="C4145" s="4">
        <v>83</v>
      </c>
      <c r="D4145" s="3">
        <v>0.78605645999999996</v>
      </c>
      <c r="E4145" s="1">
        <v>0.86562499999999998</v>
      </c>
      <c r="F4145" s="2">
        <v>0.91838246999999995</v>
      </c>
    </row>
    <row r="4146" spans="1:6" x14ac:dyDescent="0.25">
      <c r="A4146" t="s">
        <v>6</v>
      </c>
      <c r="B4146" s="5" t="str">
        <f>HYPERLINK("http://www.broadinstitute.org/gsea/msigdb/cards/GOBP_DNA_REPLICATION_INITIATION.html","GOBP_DNA_REPLICATION_INITIATION")</f>
        <v>GOBP_DNA_REPLICATION_INITIATION</v>
      </c>
      <c r="C4146" s="4">
        <v>30</v>
      </c>
      <c r="D4146" s="3">
        <v>0.78539610000000004</v>
      </c>
      <c r="E4146" s="1">
        <v>0.79966884999999999</v>
      </c>
      <c r="F4146" s="2">
        <v>0.91913204999999998</v>
      </c>
    </row>
    <row r="4147" spans="1:6" x14ac:dyDescent="0.25">
      <c r="A4147" t="s">
        <v>6</v>
      </c>
      <c r="B4147" s="5" t="str">
        <f>HYPERLINK("http://www.broadinstitute.org/gsea/msigdb/cards/GOBP_EPHRIN_RECEPTOR_SIGNALING_PATHWAY.html","GOBP_EPHRIN_RECEPTOR_SIGNALING_PATHWAY")</f>
        <v>GOBP_EPHRIN_RECEPTOR_SIGNALING_PATHWAY</v>
      </c>
      <c r="C4147" s="4">
        <v>38</v>
      </c>
      <c r="D4147" s="3">
        <v>0.78497530000000004</v>
      </c>
      <c r="E4147" s="1">
        <v>0.82323234999999995</v>
      </c>
      <c r="F4147" s="2">
        <v>0.91954040000000004</v>
      </c>
    </row>
    <row r="4148" spans="1:6" x14ac:dyDescent="0.25">
      <c r="A4148" t="s">
        <v>7</v>
      </c>
      <c r="B4148" s="5" t="str">
        <f>HYPERLINK("http://www.broadinstitute.org/gsea/msigdb/cards/GOCC_COMPACT_MYELIN.html","GOCC_COMPACT_MYELIN")</f>
        <v>GOCC_COMPACT_MYELIN</v>
      </c>
      <c r="C4148" s="4">
        <v>21</v>
      </c>
      <c r="D4148" s="3">
        <v>0.78478320000000001</v>
      </c>
      <c r="E4148" s="1">
        <v>0.77280550000000003</v>
      </c>
      <c r="F4148" s="2">
        <v>0.91959745000000004</v>
      </c>
    </row>
    <row r="4149" spans="1:6" x14ac:dyDescent="0.25">
      <c r="A4149" t="s">
        <v>7</v>
      </c>
      <c r="B4149" s="5" t="str">
        <f>HYPERLINK("http://www.broadinstitute.org/gsea/msigdb/cards/GOCC_NUCLEAR_LAMINA.html","GOCC_NUCLEAR_LAMINA")</f>
        <v>GOCC_NUCLEAR_LAMINA</v>
      </c>
      <c r="C4149" s="4">
        <v>15</v>
      </c>
      <c r="D4149" s="3">
        <v>0.78429850000000001</v>
      </c>
      <c r="E4149" s="1">
        <v>0.76756760000000002</v>
      </c>
      <c r="F4149" s="2">
        <v>0.92007090000000002</v>
      </c>
    </row>
    <row r="4150" spans="1:6" x14ac:dyDescent="0.25">
      <c r="A4150" t="s">
        <v>6</v>
      </c>
      <c r="B4150" s="5" t="str">
        <f>HYPERLINK("http://www.broadinstitute.org/gsea/msigdb/cards/GOBP_SYNAPTIC_VESICLE_LOCALIZATION.html","GOBP_SYNAPTIC_VESICLE_LOCALIZATION")</f>
        <v>GOBP_SYNAPTIC_VESICLE_LOCALIZATION</v>
      </c>
      <c r="C4150" s="4">
        <v>61</v>
      </c>
      <c r="D4150" s="3">
        <v>0.78406244999999997</v>
      </c>
      <c r="E4150" s="1">
        <v>0.86061589999999999</v>
      </c>
      <c r="F4150" s="2">
        <v>0.92019724999999997</v>
      </c>
    </row>
    <row r="4151" spans="1:6" x14ac:dyDescent="0.25">
      <c r="A4151" t="s">
        <v>6</v>
      </c>
      <c r="B4151" s="5" t="str">
        <f>HYPERLINK("http://www.broadinstitute.org/gsea/msigdb/cards/GOBP_RESPONSE_TO_ALKALOID.html","GOBP_RESPONSE_TO_ALKALOID")</f>
        <v>GOBP_RESPONSE_TO_ALKALOID</v>
      </c>
      <c r="C4151" s="4">
        <v>77</v>
      </c>
      <c r="D4151" s="3">
        <v>0.78402249999999996</v>
      </c>
      <c r="E4151" s="1">
        <v>0.87343749999999998</v>
      </c>
      <c r="F4151" s="2">
        <v>0.92002930000000005</v>
      </c>
    </row>
    <row r="4152" spans="1:6" x14ac:dyDescent="0.25">
      <c r="A4152" t="s">
        <v>6</v>
      </c>
      <c r="B4152" s="5" t="str">
        <f>HYPERLINK("http://www.broadinstitute.org/gsea/msigdb/cards/GOBP_COENZYME_A_METABOLIC_PROCESS.html","GOBP_COENZYME_A_METABOLIC_PROCESS")</f>
        <v>GOBP_COENZYME_A_METABOLIC_PROCESS</v>
      </c>
      <c r="C4152" s="4">
        <v>19</v>
      </c>
      <c r="D4152" s="3">
        <v>0.78397430000000001</v>
      </c>
      <c r="E4152" s="1">
        <v>0.76868325000000004</v>
      </c>
      <c r="F4152" s="2">
        <v>0.91988146000000004</v>
      </c>
    </row>
    <row r="4153" spans="1:6" x14ac:dyDescent="0.25">
      <c r="A4153" t="s">
        <v>10</v>
      </c>
      <c r="B4153" s="5" t="str">
        <f>HYPERLINK("http://www.broadinstitute.org/gsea/msigdb/cards/REACTOME_METALLOPROTEASE_DUBS.html","REACTOME_METALLOPROTEASE_DUBS")</f>
        <v>REACTOME_METALLOPROTEASE_DUBS</v>
      </c>
      <c r="C4153" s="4">
        <v>35</v>
      </c>
      <c r="D4153" s="3">
        <v>0.78293394999999999</v>
      </c>
      <c r="E4153" s="1">
        <v>0.81880339999999996</v>
      </c>
      <c r="F4153" s="2">
        <v>0.92116209999999998</v>
      </c>
    </row>
    <row r="4154" spans="1:6" x14ac:dyDescent="0.25">
      <c r="A4154" t="s">
        <v>6</v>
      </c>
      <c r="B4154" s="5" t="str">
        <f>HYPERLINK("http://www.broadinstitute.org/gsea/msigdb/cards/GOBP_EMBRYONIC_PATTERN_SPECIFICATION.html","GOBP_EMBRYONIC_PATTERN_SPECIFICATION")</f>
        <v>GOBP_EMBRYONIC_PATTERN_SPECIFICATION</v>
      </c>
      <c r="C4154" s="4">
        <v>82</v>
      </c>
      <c r="D4154" s="3">
        <v>0.78214496</v>
      </c>
      <c r="E4154" s="1">
        <v>0.88198759999999998</v>
      </c>
      <c r="F4154" s="2">
        <v>0.92207706</v>
      </c>
    </row>
    <row r="4155" spans="1:6" x14ac:dyDescent="0.25">
      <c r="A4155" t="s">
        <v>6</v>
      </c>
      <c r="B4155" s="5" t="str">
        <f>HYPERLINK("http://www.broadinstitute.org/gsea/msigdb/cards/GOBP_NEUROBLAST_DIVISION.html","GOBP_NEUROBLAST_DIVISION")</f>
        <v>GOBP_NEUROBLAST_DIVISION</v>
      </c>
      <c r="C4155" s="4">
        <v>16</v>
      </c>
      <c r="D4155" s="3">
        <v>0.78213613999999998</v>
      </c>
      <c r="E4155" s="1">
        <v>0.77264655000000004</v>
      </c>
      <c r="F4155" s="2">
        <v>0.92186754999999998</v>
      </c>
    </row>
    <row r="4156" spans="1:6" x14ac:dyDescent="0.25">
      <c r="A4156" t="s">
        <v>6</v>
      </c>
      <c r="B4156" s="5" t="str">
        <f>HYPERLINK("http://www.broadinstitute.org/gsea/msigdb/cards/GOBP_MITOCHONDRIAL_CALCIUM_ION_TRANSMEMBRANE_TRANSPORT.html","GOBP_MITOCHONDRIAL_CALCIUM_ION_TRANSMEMBRANE_TRANSPORT")</f>
        <v>GOBP_MITOCHONDRIAL_CALCIUM_ION_TRANSMEMBRANE_TRANSPORT</v>
      </c>
      <c r="C4156" s="4">
        <v>19</v>
      </c>
      <c r="D4156" s="3">
        <v>0.78121879999999999</v>
      </c>
      <c r="E4156" s="1">
        <v>0.7901861</v>
      </c>
      <c r="F4156" s="2">
        <v>0.9229598</v>
      </c>
    </row>
    <row r="4157" spans="1:6" x14ac:dyDescent="0.25">
      <c r="A4157" t="s">
        <v>6</v>
      </c>
      <c r="B4157" s="5" t="str">
        <f>HYPERLINK("http://www.broadinstitute.org/gsea/msigdb/cards/GOBP_RETINOIC_ACID_RECEPTOR_SIGNALING_PATHWAY.html","GOBP_RETINOIC_ACID_RECEPTOR_SIGNALING_PATHWAY")</f>
        <v>GOBP_RETINOIC_ACID_RECEPTOR_SIGNALING_PATHWAY</v>
      </c>
      <c r="C4157" s="4">
        <v>35</v>
      </c>
      <c r="D4157" s="3">
        <v>0.78068565999999995</v>
      </c>
      <c r="E4157" s="1">
        <v>0.8208955</v>
      </c>
      <c r="F4157" s="2">
        <v>0.92348010000000003</v>
      </c>
    </row>
    <row r="4158" spans="1:6" x14ac:dyDescent="0.25">
      <c r="A4158" t="s">
        <v>6</v>
      </c>
      <c r="B4158" s="5" t="str">
        <f>HYPERLINK("http://www.broadinstitute.org/gsea/msigdb/cards/GOBP_EPIGENETIC_PROGRAMMING_IN_THE_ZYGOTIC_PRONUCLEI.html","GOBP_EPIGENETIC_PROGRAMMING_IN_THE_ZYGOTIC_PRONUCLEI")</f>
        <v>GOBP_EPIGENETIC_PROGRAMMING_IN_THE_ZYGOTIC_PRONUCLEI</v>
      </c>
      <c r="C4158" s="4">
        <v>15</v>
      </c>
      <c r="D4158" s="3">
        <v>0.78030460000000001</v>
      </c>
      <c r="E4158" s="1">
        <v>0.79069769999999995</v>
      </c>
      <c r="F4158" s="2">
        <v>0.92380613</v>
      </c>
    </row>
    <row r="4159" spans="1:6" x14ac:dyDescent="0.25">
      <c r="A4159" t="s">
        <v>6</v>
      </c>
      <c r="B4159" s="5" t="str">
        <f>HYPERLINK("http://www.broadinstitute.org/gsea/msigdb/cards/GOBP_REGULATION_OF_NEUROTROPHIN_TRK_RECEPTOR_SIGNALING_PATHWAY.html","GOBP_REGULATION_OF_NEUROTROPHIN_TRK_RECEPTOR_SIGNALING_PATHWAY")</f>
        <v>GOBP_REGULATION_OF_NEUROTROPHIN_TRK_RECEPTOR_SIGNALING_PATHWAY</v>
      </c>
      <c r="C4159" s="4">
        <v>17</v>
      </c>
      <c r="D4159" s="3">
        <v>0.78027712999999999</v>
      </c>
      <c r="E4159" s="1">
        <v>0.76649743000000004</v>
      </c>
      <c r="F4159" s="2">
        <v>0.92362270000000002</v>
      </c>
    </row>
    <row r="4160" spans="1:6" x14ac:dyDescent="0.25">
      <c r="A4160" t="s">
        <v>6</v>
      </c>
      <c r="B4160" s="5" t="str">
        <f>HYPERLINK("http://www.broadinstitute.org/gsea/msigdb/cards/GOBP_NEGATIVE_REGULATION_OF_COLD_INDUCED_THERMOGENESIS.html","GOBP_NEGATIVE_REGULATION_OF_COLD_INDUCED_THERMOGENESIS")</f>
        <v>GOBP_NEGATIVE_REGULATION_OF_COLD_INDUCED_THERMOGENESIS</v>
      </c>
      <c r="C4160" s="4">
        <v>47</v>
      </c>
      <c r="D4160" s="3">
        <v>0.78023975999999995</v>
      </c>
      <c r="E4160" s="1">
        <v>0.86234175999999996</v>
      </c>
      <c r="F4160" s="2">
        <v>0.92345935000000001</v>
      </c>
    </row>
    <row r="4161" spans="1:6" x14ac:dyDescent="0.25">
      <c r="A4161" t="s">
        <v>8</v>
      </c>
      <c r="B4161" s="5" t="str">
        <f>HYPERLINK("http://www.broadinstitute.org/gsea/msigdb/cards/GOMF_SUGAR_TRANSMEMBRANE_TRANSPORTER_ACTIVITY.html","GOMF_SUGAR_TRANSMEMBRANE_TRANSPORTER_ACTIVITY")</f>
        <v>GOMF_SUGAR_TRANSMEMBRANE_TRANSPORTER_ACTIVITY</v>
      </c>
      <c r="C4161" s="4">
        <v>26</v>
      </c>
      <c r="D4161" s="3">
        <v>0.77988243000000002</v>
      </c>
      <c r="E4161" s="1">
        <v>0.80707969999999996</v>
      </c>
      <c r="F4161" s="2">
        <v>0.92372779999999999</v>
      </c>
    </row>
    <row r="4162" spans="1:6" x14ac:dyDescent="0.25">
      <c r="A4162" t="s">
        <v>6</v>
      </c>
      <c r="B4162" s="5" t="str">
        <f>HYPERLINK("http://www.broadinstitute.org/gsea/msigdb/cards/GOBP_POSITIVE_REGULATION_OF_AMINE_TRANSPORT.html","GOBP_POSITIVE_REGULATION_OF_AMINE_TRANSPORT")</f>
        <v>GOBP_POSITIVE_REGULATION_OF_AMINE_TRANSPORT</v>
      </c>
      <c r="C4162" s="4">
        <v>56</v>
      </c>
      <c r="D4162" s="3">
        <v>0.77955322999999999</v>
      </c>
      <c r="E4162" s="1">
        <v>0.86774194000000004</v>
      </c>
      <c r="F4162" s="2">
        <v>0.92395799999999995</v>
      </c>
    </row>
    <row r="4163" spans="1:6" x14ac:dyDescent="0.25">
      <c r="A4163" t="s">
        <v>6</v>
      </c>
      <c r="B4163" s="5" t="str">
        <f>HYPERLINK("http://www.broadinstitute.org/gsea/msigdb/cards/GOBP_PEROXISOMAL_TRANSPORT.html","GOBP_PEROXISOMAL_TRANSPORT")</f>
        <v>GOBP_PEROXISOMAL_TRANSPORT</v>
      </c>
      <c r="C4163" s="4">
        <v>24</v>
      </c>
      <c r="D4163" s="3">
        <v>0.7795398</v>
      </c>
      <c r="E4163" s="1">
        <v>0.7858347</v>
      </c>
      <c r="F4163" s="2">
        <v>0.92375169999999995</v>
      </c>
    </row>
    <row r="4164" spans="1:6" x14ac:dyDescent="0.25">
      <c r="A4164" t="s">
        <v>8</v>
      </c>
      <c r="B4164" s="5" t="str">
        <f>HYPERLINK("http://www.broadinstitute.org/gsea/msigdb/cards/GOMF_OXIDOREDUCTASE_ACTIVITY_ACTING_ON_THE_CH_NH_GROUP_OF_DONORS_NAD_OR_NADP_AS_ACCEPTOR.html","GOMF_OXIDOREDUCTASE_ACTIVITY_ACTING_ON_THE_CH_NH_GROUP_OF_DONORS_NAD_OR_NADP_AS_ACCEPTOR")</f>
        <v>GOMF_OXIDOREDUCTASE_ACTIVITY_ACTING_ON_THE_CH_NH_GROUP_OF_DONORS_NAD_OR_NADP_AS_ACCEPTOR</v>
      </c>
      <c r="C4164" s="4">
        <v>16</v>
      </c>
      <c r="D4164" s="3">
        <v>0.77937730000000005</v>
      </c>
      <c r="E4164" s="1">
        <v>0.78738739999999996</v>
      </c>
      <c r="F4164" s="2">
        <v>0.92376829999999999</v>
      </c>
    </row>
    <row r="4165" spans="1:6" x14ac:dyDescent="0.25">
      <c r="A4165" t="s">
        <v>6</v>
      </c>
      <c r="B4165" s="5" t="str">
        <f>HYPERLINK("http://www.broadinstitute.org/gsea/msigdb/cards/GOBP_LINOLEIC_ACID_METABOLIC_PROCESS.html","GOBP_LINOLEIC_ACID_METABOLIC_PROCESS")</f>
        <v>GOBP_LINOLEIC_ACID_METABOLIC_PROCESS</v>
      </c>
      <c r="C4165" s="4">
        <v>22</v>
      </c>
      <c r="D4165" s="3">
        <v>0.77927539999999995</v>
      </c>
      <c r="E4165" s="1">
        <v>0.79620033999999995</v>
      </c>
      <c r="F4165" s="2">
        <v>0.92368939999999999</v>
      </c>
    </row>
    <row r="4166" spans="1:6" x14ac:dyDescent="0.25">
      <c r="A4166" t="s">
        <v>6</v>
      </c>
      <c r="B4166" s="5" t="str">
        <f>HYPERLINK("http://www.broadinstitute.org/gsea/msigdb/cards/GOBP_VIRAL_TRANSLATION.html","GOBP_VIRAL_TRANSLATION")</f>
        <v>GOBP_VIRAL_TRANSLATION</v>
      </c>
      <c r="C4166" s="4">
        <v>19</v>
      </c>
      <c r="D4166" s="3">
        <v>0.77882063000000001</v>
      </c>
      <c r="E4166" s="1">
        <v>0.79861110000000002</v>
      </c>
      <c r="F4166" s="2">
        <v>0.92411989999999999</v>
      </c>
    </row>
    <row r="4167" spans="1:6" x14ac:dyDescent="0.25">
      <c r="A4167" t="s">
        <v>6</v>
      </c>
      <c r="B4167" s="5" t="str">
        <f>HYPERLINK("http://www.broadinstitute.org/gsea/msigdb/cards/GOBP_INTERLEUKIN_6_MEDIATED_SIGNALING_PATHWAY.html","GOBP_INTERLEUKIN_6_MEDIATED_SIGNALING_PATHWAY")</f>
        <v>GOBP_INTERLEUKIN_6_MEDIATED_SIGNALING_PATHWAY</v>
      </c>
      <c r="C4167" s="4">
        <v>19</v>
      </c>
      <c r="D4167" s="3">
        <v>0.77860799999999997</v>
      </c>
      <c r="E4167" s="1">
        <v>0.80175439999999998</v>
      </c>
      <c r="F4167" s="2">
        <v>0.92419510000000005</v>
      </c>
    </row>
    <row r="4168" spans="1:6" x14ac:dyDescent="0.25">
      <c r="A4168" t="s">
        <v>7</v>
      </c>
      <c r="B4168" s="5" t="str">
        <f>HYPERLINK("http://www.broadinstitute.org/gsea/msigdb/cards/GOCC_CUL3_RING_UBIQUITIN_LIGASE_COMPLEX.html","GOCC_CUL3_RING_UBIQUITIN_LIGASE_COMPLEX")</f>
        <v>GOCC_CUL3_RING_UBIQUITIN_LIGASE_COMPLEX</v>
      </c>
      <c r="C4168" s="4">
        <v>39</v>
      </c>
      <c r="D4168" s="3">
        <v>0.77856239999999999</v>
      </c>
      <c r="E4168" s="1">
        <v>0.83609270000000002</v>
      </c>
      <c r="F4168" s="2">
        <v>0.92403316000000002</v>
      </c>
    </row>
    <row r="4169" spans="1:6" x14ac:dyDescent="0.25">
      <c r="A4169" t="s">
        <v>6</v>
      </c>
      <c r="B4169" s="5" t="str">
        <f>HYPERLINK("http://www.broadinstitute.org/gsea/msigdb/cards/GOBP_FEEDING_BEHAVIOR.html","GOBP_FEEDING_BEHAVIOR")</f>
        <v>GOBP_FEEDING_BEHAVIOR</v>
      </c>
      <c r="C4169" s="4">
        <v>125</v>
      </c>
      <c r="D4169" s="3">
        <v>0.77853083999999995</v>
      </c>
      <c r="E4169" s="1">
        <v>0.91486067000000004</v>
      </c>
      <c r="F4169" s="2">
        <v>0.92385554000000003</v>
      </c>
    </row>
    <row r="4170" spans="1:6" x14ac:dyDescent="0.25">
      <c r="A4170" t="s">
        <v>6</v>
      </c>
      <c r="B4170" s="5" t="str">
        <f>HYPERLINK("http://www.broadinstitute.org/gsea/msigdb/cards/GOBP_POSITIVE_REGULATION_OF_SYSTEMIC_ARTERIAL_BLOOD_PRESSURE.html","GOBP_POSITIVE_REGULATION_OF_SYSTEMIC_ARTERIAL_BLOOD_PRESSURE")</f>
        <v>GOBP_POSITIVE_REGULATION_OF_SYSTEMIC_ARTERIAL_BLOOD_PRESSURE</v>
      </c>
      <c r="C4170" s="4">
        <v>25</v>
      </c>
      <c r="D4170" s="3">
        <v>0.77845734</v>
      </c>
      <c r="E4170" s="1">
        <v>0.79830509999999999</v>
      </c>
      <c r="F4170" s="2">
        <v>0.92374639999999997</v>
      </c>
    </row>
    <row r="4171" spans="1:6" x14ac:dyDescent="0.25">
      <c r="A4171" t="s">
        <v>7</v>
      </c>
      <c r="B4171" s="5" t="str">
        <f>HYPERLINK("http://www.broadinstitute.org/gsea/msigdb/cards/GOCC_CILIARY_BASE.html","GOCC_CILIARY_BASE")</f>
        <v>GOCC_CILIARY_BASE</v>
      </c>
      <c r="C4171" s="4">
        <v>47</v>
      </c>
      <c r="D4171" s="3">
        <v>0.77785850000000001</v>
      </c>
      <c r="E4171" s="1">
        <v>0.86035309999999998</v>
      </c>
      <c r="F4171" s="2">
        <v>0.92434090000000002</v>
      </c>
    </row>
    <row r="4172" spans="1:6" x14ac:dyDescent="0.25">
      <c r="A4172" t="s">
        <v>8</v>
      </c>
      <c r="B4172" s="5" t="str">
        <f>HYPERLINK("http://www.broadinstitute.org/gsea/msigdb/cards/GOMF_METAL_ION_TRANSMEMBRANE_TRANSPORTER_ACTIVITY.html","GOMF_METAL_ION_TRANSMEMBRANE_TRANSPORTER_ACTIVITY")</f>
        <v>GOMF_METAL_ION_TRANSMEMBRANE_TRANSPORTER_ACTIVITY</v>
      </c>
      <c r="C4172" s="4">
        <v>427</v>
      </c>
      <c r="D4172" s="3">
        <v>0.77698754999999997</v>
      </c>
      <c r="E4172" s="1">
        <v>0.99489145999999995</v>
      </c>
      <c r="F4172" s="2">
        <v>0.92534329999999998</v>
      </c>
    </row>
    <row r="4173" spans="1:6" x14ac:dyDescent="0.25">
      <c r="A4173" t="s">
        <v>8</v>
      </c>
      <c r="B4173" s="5" t="str">
        <f>HYPERLINK("http://www.broadinstitute.org/gsea/msigdb/cards/GOMF_STRUCTURAL_CONSTITUENT_OF_EYE_LENS.html","GOMF_STRUCTURAL_CONSTITUENT_OF_EYE_LENS")</f>
        <v>GOMF_STRUCTURAL_CONSTITUENT_OF_EYE_LENS</v>
      </c>
      <c r="C4173" s="4">
        <v>22</v>
      </c>
      <c r="D4173" s="3">
        <v>0.77627723999999998</v>
      </c>
      <c r="E4173" s="1">
        <v>0.76324504999999998</v>
      </c>
      <c r="F4173" s="2">
        <v>0.92610179999999998</v>
      </c>
    </row>
    <row r="4174" spans="1:6" x14ac:dyDescent="0.25">
      <c r="A4174" t="s">
        <v>6</v>
      </c>
      <c r="B4174" s="5" t="str">
        <f>HYPERLINK("http://www.broadinstitute.org/gsea/msigdb/cards/GOBP_RESPONSE_TO_LEPTIN.html","GOBP_RESPONSE_TO_LEPTIN")</f>
        <v>GOBP_RESPONSE_TO_LEPTIN</v>
      </c>
      <c r="C4174" s="4">
        <v>19</v>
      </c>
      <c r="D4174" s="3">
        <v>0.77564770000000005</v>
      </c>
      <c r="E4174" s="1">
        <v>0.79859895000000003</v>
      </c>
      <c r="F4174" s="2">
        <v>0.92676400000000003</v>
      </c>
    </row>
    <row r="4175" spans="1:6" x14ac:dyDescent="0.25">
      <c r="A4175" t="s">
        <v>6</v>
      </c>
      <c r="B4175" s="5" t="str">
        <f>HYPERLINK("http://www.broadinstitute.org/gsea/msigdb/cards/GOBP_NEGATIVE_REGULATION_OF_CELL_CYCLE_PROCESS.html","GOBP_NEGATIVE_REGULATION_OF_CELL_CYCLE_PROCESS")</f>
        <v>GOBP_NEGATIVE_REGULATION_OF_CELL_CYCLE_PROCESS</v>
      </c>
      <c r="C4175" s="4">
        <v>294</v>
      </c>
      <c r="D4175" s="3">
        <v>0.77534919999999996</v>
      </c>
      <c r="E4175" s="1">
        <v>0.97831975999999998</v>
      </c>
      <c r="F4175" s="2">
        <v>0.92695516</v>
      </c>
    </row>
    <row r="4176" spans="1:6" x14ac:dyDescent="0.25">
      <c r="A4176" t="s">
        <v>6</v>
      </c>
      <c r="B4176" s="5" t="str">
        <f>HYPERLINK("http://www.broadinstitute.org/gsea/msigdb/cards/GOBP_CALCIUM_ION_TRANSPORT_INTO_CYTOSOL.html","GOBP_CALCIUM_ION_TRANSPORT_INTO_CYTOSOL")</f>
        <v>GOBP_CALCIUM_ION_TRANSPORT_INTO_CYTOSOL</v>
      </c>
      <c r="C4176" s="4">
        <v>28</v>
      </c>
      <c r="D4176" s="3">
        <v>0.77493226999999998</v>
      </c>
      <c r="E4176" s="1">
        <v>0.83168315999999998</v>
      </c>
      <c r="F4176" s="2">
        <v>0.92730486000000001</v>
      </c>
    </row>
    <row r="4177" spans="1:6" x14ac:dyDescent="0.25">
      <c r="A4177" t="s">
        <v>10</v>
      </c>
      <c r="B4177" s="5" t="str">
        <f>HYPERLINK("http://www.broadinstitute.org/gsea/msigdb/cards/REACTOME_N_GLYCAN_TRIMMING_IN_THE_ER_AND_CALNEXIN_CALRETICULIN_CYCLE.html","REACTOME_N_GLYCAN_TRIMMING_IN_THE_ER_AND_CALNEXIN_CALRETICULIN_CYCLE")</f>
        <v>REACTOME_N_GLYCAN_TRIMMING_IN_THE_ER_AND_CALNEXIN_CALRETICULIN_CYCLE</v>
      </c>
      <c r="C4177" s="4">
        <v>15</v>
      </c>
      <c r="D4177" s="3">
        <v>0.77485835999999997</v>
      </c>
      <c r="E4177" s="1">
        <v>0.77380954999999996</v>
      </c>
      <c r="F4177" s="2">
        <v>0.92717349999999998</v>
      </c>
    </row>
    <row r="4178" spans="1:6" x14ac:dyDescent="0.25">
      <c r="A4178" t="s">
        <v>6</v>
      </c>
      <c r="B4178" s="5" t="str">
        <f>HYPERLINK("http://www.broadinstitute.org/gsea/msigdb/cards/GOBP_NEGATIVE_REGULATION_OF_CALCIUM_ION_TRANSMEMBRANE_TRANSPORTER_ACTIVITY.html","GOBP_NEGATIVE_REGULATION_OF_CALCIUM_ION_TRANSMEMBRANE_TRANSPORTER_ACTIVITY")</f>
        <v>GOBP_NEGATIVE_REGULATION_OF_CALCIUM_ION_TRANSMEMBRANE_TRANSPORTER_ACTIVITY</v>
      </c>
      <c r="C4178" s="4">
        <v>34</v>
      </c>
      <c r="D4178" s="3">
        <v>0.77465503999999996</v>
      </c>
      <c r="E4178" s="1">
        <v>0.82441472999999998</v>
      </c>
      <c r="F4178" s="2">
        <v>0.92721439999999999</v>
      </c>
    </row>
    <row r="4179" spans="1:6" x14ac:dyDescent="0.25">
      <c r="A4179" t="s">
        <v>6</v>
      </c>
      <c r="B4179" s="5" t="str">
        <f>HYPERLINK("http://www.broadinstitute.org/gsea/msigdb/cards/GOBP_NEGATIVE_REGULATION_OF_HORMONE_METABOLIC_PROCESS.html","GOBP_NEGATIVE_REGULATION_OF_HORMONE_METABOLIC_PROCESS")</f>
        <v>GOBP_NEGATIVE_REGULATION_OF_HORMONE_METABOLIC_PROCESS</v>
      </c>
      <c r="C4179" s="4">
        <v>17</v>
      </c>
      <c r="D4179" s="3">
        <v>0.77452569999999998</v>
      </c>
      <c r="E4179" s="1">
        <v>0.79854809999999998</v>
      </c>
      <c r="F4179" s="2">
        <v>0.92716414000000003</v>
      </c>
    </row>
    <row r="4180" spans="1:6" x14ac:dyDescent="0.25">
      <c r="A4180" t="s">
        <v>6</v>
      </c>
      <c r="B4180" s="5" t="str">
        <f>HYPERLINK("http://www.broadinstitute.org/gsea/msigdb/cards/GOBP_ASPARTATE_FAMILY_AMINO_ACID_METABOLIC_PROCESS.html","GOBP_ASPARTATE_FAMILY_AMINO_ACID_METABOLIC_PROCESS")</f>
        <v>GOBP_ASPARTATE_FAMILY_AMINO_ACID_METABOLIC_PROCESS</v>
      </c>
      <c r="C4180" s="4">
        <v>39</v>
      </c>
      <c r="D4180" s="3">
        <v>0.7733681</v>
      </c>
      <c r="E4180" s="1">
        <v>0.84838709999999995</v>
      </c>
      <c r="F4180" s="2">
        <v>0.92851996000000003</v>
      </c>
    </row>
    <row r="4181" spans="1:6" x14ac:dyDescent="0.25">
      <c r="A4181" t="s">
        <v>6</v>
      </c>
      <c r="B4181" s="5" t="str">
        <f>HYPERLINK("http://www.broadinstitute.org/gsea/msigdb/cards/GOBP_WATER_TRANSPORT.html","GOBP_WATER_TRANSPORT")</f>
        <v>GOBP_WATER_TRANSPORT</v>
      </c>
      <c r="C4181" s="4">
        <v>22</v>
      </c>
      <c r="D4181" s="3">
        <v>0.77317773999999995</v>
      </c>
      <c r="E4181" s="1">
        <v>0.79153096999999994</v>
      </c>
      <c r="F4181" s="2">
        <v>0.92855083999999999</v>
      </c>
    </row>
    <row r="4182" spans="1:6" x14ac:dyDescent="0.25">
      <c r="A4182" t="s">
        <v>8</v>
      </c>
      <c r="B4182" s="5" t="str">
        <f>HYPERLINK("http://www.broadinstitute.org/gsea/msigdb/cards/GOMF_SNAP_RECEPTOR_ACTIVITY.html","GOMF_SNAP_RECEPTOR_ACTIVITY")</f>
        <v>GOMF_SNAP_RECEPTOR_ACTIVITY</v>
      </c>
      <c r="C4182" s="4">
        <v>35</v>
      </c>
      <c r="D4182" s="3">
        <v>0.77306490000000005</v>
      </c>
      <c r="E4182" s="1">
        <v>0.82996630000000005</v>
      </c>
      <c r="F4182" s="2">
        <v>0.92848609999999998</v>
      </c>
    </row>
    <row r="4183" spans="1:6" x14ac:dyDescent="0.25">
      <c r="A4183" t="s">
        <v>6</v>
      </c>
      <c r="B4183" s="5" t="str">
        <f>HYPERLINK("http://www.broadinstitute.org/gsea/msigdb/cards/GOBP_PHOSPHATIDYLCHOLINE_BIOSYNTHETIC_PROCESS.html","GOBP_PHOSPHATIDYLCHOLINE_BIOSYNTHETIC_PROCESS")</f>
        <v>GOBP_PHOSPHATIDYLCHOLINE_BIOSYNTHETIC_PROCESS</v>
      </c>
      <c r="C4183" s="4">
        <v>21</v>
      </c>
      <c r="D4183" s="3">
        <v>0.77137135999999995</v>
      </c>
      <c r="E4183" s="1">
        <v>0.79581153000000004</v>
      </c>
      <c r="F4183" s="2">
        <v>0.93055290000000002</v>
      </c>
    </row>
    <row r="4184" spans="1:6" x14ac:dyDescent="0.25">
      <c r="A4184" t="s">
        <v>6</v>
      </c>
      <c r="B4184" s="5" t="str">
        <f>HYPERLINK("http://www.broadinstitute.org/gsea/msigdb/cards/GOBP_BLASTODERM_SEGMENTATION.html","GOBP_BLASTODERM_SEGMENTATION")</f>
        <v>GOBP_BLASTODERM_SEGMENTATION</v>
      </c>
      <c r="C4184" s="4">
        <v>29</v>
      </c>
      <c r="D4184" s="3">
        <v>0.77059703999999996</v>
      </c>
      <c r="E4184" s="1">
        <v>0.80762564999999997</v>
      </c>
      <c r="F4184" s="2">
        <v>0.93137102999999999</v>
      </c>
    </row>
    <row r="4185" spans="1:6" x14ac:dyDescent="0.25">
      <c r="A4185" t="s">
        <v>6</v>
      </c>
      <c r="B4185" s="5" t="str">
        <f>HYPERLINK("http://www.broadinstitute.org/gsea/msigdb/cards/GOBP_NEGATIVE_REGULATION_OF_INSULIN_SECRETION.html","GOBP_NEGATIVE_REGULATION_OF_INSULIN_SECRETION")</f>
        <v>GOBP_NEGATIVE_REGULATION_OF_INSULIN_SECRETION</v>
      </c>
      <c r="C4185" s="4">
        <v>58</v>
      </c>
      <c r="D4185" s="3">
        <v>0.76923160000000002</v>
      </c>
      <c r="E4185" s="1">
        <v>0.89358369999999998</v>
      </c>
      <c r="F4185" s="2">
        <v>0.93300103999999995</v>
      </c>
    </row>
    <row r="4186" spans="1:6" x14ac:dyDescent="0.25">
      <c r="A4186" t="s">
        <v>6</v>
      </c>
      <c r="B4186" s="5" t="str">
        <f>HYPERLINK("http://www.broadinstitute.org/gsea/msigdb/cards/GOBP_REGULATION_OF_GLYCOGEN_BIOSYNTHETIC_PROCESS.html","GOBP_REGULATION_OF_GLYCOGEN_BIOSYNTHETIC_PROCESS")</f>
        <v>GOBP_REGULATION_OF_GLYCOGEN_BIOSYNTHETIC_PROCESS</v>
      </c>
      <c r="C4186" s="4">
        <v>29</v>
      </c>
      <c r="D4186" s="3">
        <v>0.76904726000000001</v>
      </c>
      <c r="E4186" s="1">
        <v>0.82314050000000005</v>
      </c>
      <c r="F4186" s="2">
        <v>0.9330252</v>
      </c>
    </row>
    <row r="4187" spans="1:6" x14ac:dyDescent="0.25">
      <c r="A4187" t="s">
        <v>6</v>
      </c>
      <c r="B4187" s="5" t="str">
        <f>HYPERLINK("http://www.broadinstitute.org/gsea/msigdb/cards/GOBP_NEGATIVE_REGULATION_OF_GTPASE_ACTIVITY.html","GOBP_NEGATIVE_REGULATION_OF_GTPASE_ACTIVITY")</f>
        <v>GOBP_NEGATIVE_REGULATION_OF_GTPASE_ACTIVITY</v>
      </c>
      <c r="C4187" s="4">
        <v>31</v>
      </c>
      <c r="D4187" s="3">
        <v>0.7687967</v>
      </c>
      <c r="E4187" s="1">
        <v>0.83518225000000001</v>
      </c>
      <c r="F4187" s="2">
        <v>0.93311619999999995</v>
      </c>
    </row>
    <row r="4188" spans="1:6" x14ac:dyDescent="0.25">
      <c r="A4188" t="s">
        <v>8</v>
      </c>
      <c r="B4188" s="5" t="str">
        <f>HYPERLINK("http://www.broadinstitute.org/gsea/msigdb/cards/GOMF_STEROID_HYDROXYLASE_ACTIVITY.html","GOMF_STEROID_HYDROXYLASE_ACTIVITY")</f>
        <v>GOMF_STEROID_HYDROXYLASE_ACTIVITY</v>
      </c>
      <c r="C4188" s="4">
        <v>33</v>
      </c>
      <c r="D4188" s="3">
        <v>0.76869189999999998</v>
      </c>
      <c r="E4188" s="1">
        <v>0.84323429999999999</v>
      </c>
      <c r="F4188" s="2">
        <v>0.93302580000000002</v>
      </c>
    </row>
    <row r="4189" spans="1:6" x14ac:dyDescent="0.25">
      <c r="A4189" t="s">
        <v>6</v>
      </c>
      <c r="B4189" s="5" t="str">
        <f>HYPERLINK("http://www.broadinstitute.org/gsea/msigdb/cards/GOBP_TELOMERE_CAPPING.html","GOBP_TELOMERE_CAPPING")</f>
        <v>GOBP_TELOMERE_CAPPING</v>
      </c>
      <c r="C4189" s="4">
        <v>38</v>
      </c>
      <c r="D4189" s="3">
        <v>0.76837120000000003</v>
      </c>
      <c r="E4189" s="1">
        <v>0.84193010000000001</v>
      </c>
      <c r="F4189" s="2">
        <v>0.93321759999999998</v>
      </c>
    </row>
    <row r="4190" spans="1:6" x14ac:dyDescent="0.25">
      <c r="A4190" t="s">
        <v>6</v>
      </c>
      <c r="B4190" s="5" t="str">
        <f>HYPERLINK("http://www.broadinstitute.org/gsea/msigdb/cards/GOBP_PYRIMIDINE_NUCLEOSIDE_TRIPHOSPHATE_METABOLIC_PROCESS.html","GOBP_PYRIMIDINE_NUCLEOSIDE_TRIPHOSPHATE_METABOLIC_PROCESS")</f>
        <v>GOBP_PYRIMIDINE_NUCLEOSIDE_TRIPHOSPHATE_METABOLIC_PROCESS</v>
      </c>
      <c r="C4190" s="4">
        <v>20</v>
      </c>
      <c r="D4190" s="3">
        <v>0.76816594999999999</v>
      </c>
      <c r="E4190" s="1">
        <v>0.79744524000000006</v>
      </c>
      <c r="F4190" s="2">
        <v>0.93329083999999995</v>
      </c>
    </row>
    <row r="4191" spans="1:6" x14ac:dyDescent="0.25">
      <c r="A4191" t="s">
        <v>7</v>
      </c>
      <c r="B4191" s="5" t="str">
        <f>HYPERLINK("http://www.broadinstitute.org/gsea/msigdb/cards/GOCC_EXCITATORY_SYNAPSE.html","GOCC_EXCITATORY_SYNAPSE")</f>
        <v>GOCC_EXCITATORY_SYNAPSE</v>
      </c>
      <c r="C4191" s="4">
        <v>98</v>
      </c>
      <c r="D4191" s="3">
        <v>0.76751879999999995</v>
      </c>
      <c r="E4191" s="1">
        <v>0.93087560000000003</v>
      </c>
      <c r="F4191" s="2">
        <v>0.93388450000000001</v>
      </c>
    </row>
    <row r="4192" spans="1:6" x14ac:dyDescent="0.25">
      <c r="A4192" t="s">
        <v>8</v>
      </c>
      <c r="B4192" s="5" t="str">
        <f>HYPERLINK("http://www.broadinstitute.org/gsea/msigdb/cards/GOMF_MACROMOLECULE_TRANSMEMBRANE_TRANSPORTER_ACTIVITY.html","GOMF_MACROMOLECULE_TRANSMEMBRANE_TRANSPORTER_ACTIVITY")</f>
        <v>GOMF_MACROMOLECULE_TRANSMEMBRANE_TRANSPORTER_ACTIVITY</v>
      </c>
      <c r="C4192" s="4">
        <v>25</v>
      </c>
      <c r="D4192" s="3">
        <v>0.76661307000000001</v>
      </c>
      <c r="E4192" s="1">
        <v>0.83601283999999998</v>
      </c>
      <c r="F4192" s="2">
        <v>0.93482315999999999</v>
      </c>
    </row>
    <row r="4193" spans="1:6" x14ac:dyDescent="0.25">
      <c r="A4193" t="s">
        <v>6</v>
      </c>
      <c r="B4193" s="5" t="str">
        <f>HYPERLINK("http://www.broadinstitute.org/gsea/msigdb/cards/GOBP_REGULATION_OF_MITOCHONDRIAL_FISSION.html","GOBP_REGULATION_OF_MITOCHONDRIAL_FISSION")</f>
        <v>GOBP_REGULATION_OF_MITOCHONDRIAL_FISSION</v>
      </c>
      <c r="C4193" s="4">
        <v>36</v>
      </c>
      <c r="D4193" s="3">
        <v>0.76588666000000005</v>
      </c>
      <c r="E4193" s="1">
        <v>0.84327090000000005</v>
      </c>
      <c r="F4193" s="2">
        <v>0.93554649999999995</v>
      </c>
    </row>
    <row r="4194" spans="1:6" x14ac:dyDescent="0.25">
      <c r="A4194" t="s">
        <v>8</v>
      </c>
      <c r="B4194" s="5" t="str">
        <f>HYPERLINK("http://www.broadinstitute.org/gsea/msigdb/cards/GOMF_NUCLEAR_GLUCOCORTICOID_RECEPTOR_BINDING.html","GOMF_NUCLEAR_GLUCOCORTICOID_RECEPTOR_BINDING")</f>
        <v>GOMF_NUCLEAR_GLUCOCORTICOID_RECEPTOR_BINDING</v>
      </c>
      <c r="C4194" s="4">
        <v>20</v>
      </c>
      <c r="D4194" s="3">
        <v>0.76522212999999994</v>
      </c>
      <c r="E4194" s="1">
        <v>0.81929827</v>
      </c>
      <c r="F4194" s="2">
        <v>0.93618829999999997</v>
      </c>
    </row>
    <row r="4195" spans="1:6" x14ac:dyDescent="0.25">
      <c r="A4195" t="s">
        <v>8</v>
      </c>
      <c r="B4195" s="5" t="str">
        <f>HYPERLINK("http://www.broadinstitute.org/gsea/msigdb/cards/GOMF_NUCLEOBASE_CONTAINING_COMPOUND_TRANSMEMBRANE_TRANSPORTER_ACTIVITY.html","GOMF_NUCLEOBASE_CONTAINING_COMPOUND_TRANSMEMBRANE_TRANSPORTER_ACTIVITY")</f>
        <v>GOMF_NUCLEOBASE_CONTAINING_COMPOUND_TRANSMEMBRANE_TRANSPORTER_ACTIVITY</v>
      </c>
      <c r="C4195" s="4">
        <v>55</v>
      </c>
      <c r="D4195" s="3">
        <v>0.76496359999999997</v>
      </c>
      <c r="E4195" s="1">
        <v>0.86319219999999997</v>
      </c>
      <c r="F4195" s="2">
        <v>0.93629485000000001</v>
      </c>
    </row>
    <row r="4196" spans="1:6" x14ac:dyDescent="0.25">
      <c r="A4196" t="s">
        <v>6</v>
      </c>
      <c r="B4196" s="5" t="str">
        <f>HYPERLINK("http://www.broadinstitute.org/gsea/msigdb/cards/GOBP_REGULATION_OF_TRIGLYCERIDE_CATABOLIC_PROCESS.html","GOBP_REGULATION_OF_TRIGLYCERIDE_CATABOLIC_PROCESS")</f>
        <v>GOBP_REGULATION_OF_TRIGLYCERIDE_CATABOLIC_PROCESS</v>
      </c>
      <c r="C4196" s="4">
        <v>15</v>
      </c>
      <c r="D4196" s="3">
        <v>0.76410750000000005</v>
      </c>
      <c r="E4196" s="1">
        <v>0.78200689999999995</v>
      </c>
      <c r="F4196" s="2">
        <v>0.93716747</v>
      </c>
    </row>
    <row r="4197" spans="1:6" x14ac:dyDescent="0.25">
      <c r="A4197" t="s">
        <v>8</v>
      </c>
      <c r="B4197" s="5" t="str">
        <f>HYPERLINK("http://www.broadinstitute.org/gsea/msigdb/cards/GOMF_AMINO_ACID_TRANSMEMBRANE_TRANSPORTER_ACTIVITY.html","GOMF_AMINO_ACID_TRANSMEMBRANE_TRANSPORTER_ACTIVITY")</f>
        <v>GOMF_AMINO_ACID_TRANSMEMBRANE_TRANSPORTER_ACTIVITY</v>
      </c>
      <c r="C4197" s="4">
        <v>86</v>
      </c>
      <c r="D4197" s="3">
        <v>0.76363460000000005</v>
      </c>
      <c r="E4197" s="1">
        <v>0.91755724000000005</v>
      </c>
      <c r="F4197" s="2">
        <v>0.93753509999999995</v>
      </c>
    </row>
    <row r="4198" spans="1:6" x14ac:dyDescent="0.25">
      <c r="A4198" t="s">
        <v>8</v>
      </c>
      <c r="B4198" s="5" t="str">
        <f>HYPERLINK("http://www.broadinstitute.org/gsea/msigdb/cards/GOMF_FATTY_ACID_LIGASE_ACTIVITY.html","GOMF_FATTY_ACID_LIGASE_ACTIVITY")</f>
        <v>GOMF_FATTY_ACID_LIGASE_ACTIVITY</v>
      </c>
      <c r="C4198" s="4">
        <v>20</v>
      </c>
      <c r="D4198" s="3">
        <v>0.76354085999999999</v>
      </c>
      <c r="E4198" s="1">
        <v>0.80602010000000002</v>
      </c>
      <c r="F4198" s="2">
        <v>0.9374382</v>
      </c>
    </row>
    <row r="4199" spans="1:6" x14ac:dyDescent="0.25">
      <c r="A4199" t="s">
        <v>7</v>
      </c>
      <c r="B4199" s="5" t="str">
        <f>HYPERLINK("http://www.broadinstitute.org/gsea/msigdb/cards/GOCC_DENDRITIC_SHAFT.html","GOCC_DENDRITIC_SHAFT")</f>
        <v>GOCC_DENDRITIC_SHAFT</v>
      </c>
      <c r="C4199" s="4">
        <v>70</v>
      </c>
      <c r="D4199" s="3">
        <v>0.76243985000000003</v>
      </c>
      <c r="E4199" s="1">
        <v>0.8967136</v>
      </c>
      <c r="F4199" s="2">
        <v>0.93858933</v>
      </c>
    </row>
    <row r="4200" spans="1:6" x14ac:dyDescent="0.25">
      <c r="A4200" t="s">
        <v>10</v>
      </c>
      <c r="B4200" s="5" t="str">
        <f>HYPERLINK("http://www.broadinstitute.org/gsea/msigdb/cards/REACTOME_SIGNALING_BY_TYPE_1_INSULIN_LIKE_GROWTH_FACTOR_1_RECEPTOR_IGF1R.html","REACTOME_SIGNALING_BY_TYPE_1_INSULIN_LIKE_GROWTH_FACTOR_1_RECEPTOR_IGF1R")</f>
        <v>REACTOME_SIGNALING_BY_TYPE_1_INSULIN_LIKE_GROWTH_FACTOR_1_RECEPTOR_IGF1R</v>
      </c>
      <c r="C4200" s="4">
        <v>46</v>
      </c>
      <c r="D4200" s="3">
        <v>0.76199013000000004</v>
      </c>
      <c r="E4200" s="1">
        <v>0.84053160000000005</v>
      </c>
      <c r="F4200" s="2">
        <v>0.9389419</v>
      </c>
    </row>
    <row r="4201" spans="1:6" x14ac:dyDescent="0.25">
      <c r="A4201" t="s">
        <v>6</v>
      </c>
      <c r="B4201" s="5" t="str">
        <f>HYPERLINK("http://www.broadinstitute.org/gsea/msigdb/cards/GOBP_ALPHA_AMINO_ACID_CATABOLIC_PROCESS.html","GOBP_ALPHA_AMINO_ACID_CATABOLIC_PROCESS")</f>
        <v>GOBP_ALPHA_AMINO_ACID_CATABOLIC_PROCESS</v>
      </c>
      <c r="C4201" s="4">
        <v>74</v>
      </c>
      <c r="D4201" s="3">
        <v>0.76146829999999999</v>
      </c>
      <c r="E4201" s="1">
        <v>0.89238410000000001</v>
      </c>
      <c r="F4201" s="2">
        <v>0.93935959999999996</v>
      </c>
    </row>
    <row r="4202" spans="1:6" x14ac:dyDescent="0.25">
      <c r="A4202" t="s">
        <v>6</v>
      </c>
      <c r="B4202" s="5" t="str">
        <f>HYPERLINK("http://www.broadinstitute.org/gsea/msigdb/cards/GOBP_ARACHIDONIC_ACID_METABOLIC_PROCESS.html","GOBP_ARACHIDONIC_ACID_METABOLIC_PROCESS")</f>
        <v>GOBP_ARACHIDONIC_ACID_METABOLIC_PROCESS</v>
      </c>
      <c r="C4202" s="4">
        <v>62</v>
      </c>
      <c r="D4202" s="3">
        <v>0.76098200000000005</v>
      </c>
      <c r="E4202" s="1">
        <v>0.87844409999999995</v>
      </c>
      <c r="F4202" s="2">
        <v>0.93973684000000002</v>
      </c>
    </row>
    <row r="4203" spans="1:6" x14ac:dyDescent="0.25">
      <c r="A4203" t="s">
        <v>6</v>
      </c>
      <c r="B4203" s="5" t="str">
        <f>HYPERLINK("http://www.broadinstitute.org/gsea/msigdb/cards/GOBP_VERY_LONG_CHAIN_FATTY_ACID_METABOLIC_PROCESS.html","GOBP_VERY_LONG_CHAIN_FATTY_ACID_METABOLIC_PROCESS")</f>
        <v>GOBP_VERY_LONG_CHAIN_FATTY_ACID_METABOLIC_PROCESS</v>
      </c>
      <c r="C4203" s="4">
        <v>35</v>
      </c>
      <c r="D4203" s="3">
        <v>0.76084940000000001</v>
      </c>
      <c r="E4203" s="1">
        <v>0.8516667</v>
      </c>
      <c r="F4203" s="2">
        <v>0.93966954999999996</v>
      </c>
    </row>
    <row r="4204" spans="1:6" x14ac:dyDescent="0.25">
      <c r="A4204" t="s">
        <v>6</v>
      </c>
      <c r="B4204" s="5" t="str">
        <f>HYPERLINK("http://www.broadinstitute.org/gsea/msigdb/cards/GOBP_SYNAPTIC_VESICLE_CLUSTERING.html","GOBP_SYNAPTIC_VESICLE_CLUSTERING")</f>
        <v>GOBP_SYNAPTIC_VESICLE_CLUSTERING</v>
      </c>
      <c r="C4204" s="4">
        <v>20</v>
      </c>
      <c r="D4204" s="3">
        <v>0.760745</v>
      </c>
      <c r="E4204" s="1">
        <v>0.81848739999999998</v>
      </c>
      <c r="F4204" s="2">
        <v>0.93957429999999997</v>
      </c>
    </row>
    <row r="4205" spans="1:6" x14ac:dyDescent="0.25">
      <c r="A4205" t="s">
        <v>7</v>
      </c>
      <c r="B4205" s="5" t="str">
        <f>HYPERLINK("http://www.broadinstitute.org/gsea/msigdb/cards/GOCC_SPINDLE.html","GOCC_SPINDLE")</f>
        <v>GOCC_SPINDLE</v>
      </c>
      <c r="C4205" s="4">
        <v>358</v>
      </c>
      <c r="D4205" s="3">
        <v>0.76048492999999995</v>
      </c>
      <c r="E4205" s="1">
        <v>0.99356500000000003</v>
      </c>
      <c r="F4205" s="2">
        <v>0.93968253999999996</v>
      </c>
    </row>
    <row r="4206" spans="1:6" x14ac:dyDescent="0.25">
      <c r="A4206" t="s">
        <v>8</v>
      </c>
      <c r="B4206" s="5" t="str">
        <f>HYPERLINK("http://www.broadinstitute.org/gsea/msigdb/cards/GOMF_BMP_BINDING.html","GOMF_BMP_BINDING")</f>
        <v>GOMF_BMP_BINDING</v>
      </c>
      <c r="C4206" s="4">
        <v>19</v>
      </c>
      <c r="D4206" s="3">
        <v>0.76029557000000003</v>
      </c>
      <c r="E4206" s="1">
        <v>0.82764506000000004</v>
      </c>
      <c r="F4206" s="2">
        <v>0.93969612999999996</v>
      </c>
    </row>
    <row r="4207" spans="1:6" x14ac:dyDescent="0.25">
      <c r="A4207" t="s">
        <v>6</v>
      </c>
      <c r="B4207" s="5" t="str">
        <f>HYPERLINK("http://www.broadinstitute.org/gsea/msigdb/cards/GOBP_HYPEROSMOTIC_RESPONSE.html","GOBP_HYPEROSMOTIC_RESPONSE")</f>
        <v>GOBP_HYPEROSMOTIC_RESPONSE</v>
      </c>
      <c r="C4207" s="4">
        <v>19</v>
      </c>
      <c r="D4207" s="3">
        <v>0.75940686000000002</v>
      </c>
      <c r="E4207" s="1">
        <v>0.81680673000000004</v>
      </c>
      <c r="F4207" s="2">
        <v>0.94058249999999999</v>
      </c>
    </row>
    <row r="4208" spans="1:6" x14ac:dyDescent="0.25">
      <c r="A4208" t="s">
        <v>6</v>
      </c>
      <c r="B4208" s="5" t="str">
        <f>HYPERLINK("http://www.broadinstitute.org/gsea/msigdb/cards/GOBP_CATECHOLAMINE_SECRETION.html","GOBP_CATECHOLAMINE_SECRETION")</f>
        <v>GOBP_CATECHOLAMINE_SECRETION</v>
      </c>
      <c r="C4208" s="4">
        <v>74</v>
      </c>
      <c r="D4208" s="3">
        <v>0.75925410000000004</v>
      </c>
      <c r="E4208" s="1">
        <v>0.89938079999999998</v>
      </c>
      <c r="F4208" s="2">
        <v>0.94055414000000004</v>
      </c>
    </row>
    <row r="4209" spans="1:6" x14ac:dyDescent="0.25">
      <c r="A4209" t="s">
        <v>6</v>
      </c>
      <c r="B4209" s="5" t="str">
        <f>HYPERLINK("http://www.broadinstitute.org/gsea/msigdb/cards/GOBP_NEGATIVE_REGULATION_OF_INTRACELLULAR_ESTROGEN_RECEPTOR_SIGNALING_PATHWAY.html","GOBP_NEGATIVE_REGULATION_OF_INTRACELLULAR_ESTROGEN_RECEPTOR_SIGNALING_PATHWAY")</f>
        <v>GOBP_NEGATIVE_REGULATION_OF_INTRACELLULAR_ESTROGEN_RECEPTOR_SIGNALING_PATHWAY</v>
      </c>
      <c r="C4209" s="4">
        <v>15</v>
      </c>
      <c r="D4209" s="3">
        <v>0.75912480000000004</v>
      </c>
      <c r="E4209" s="1">
        <v>0.81654674000000005</v>
      </c>
      <c r="F4209" s="2">
        <v>0.94048849999999995</v>
      </c>
    </row>
    <row r="4210" spans="1:6" x14ac:dyDescent="0.25">
      <c r="A4210" t="s">
        <v>6</v>
      </c>
      <c r="B4210" s="5" t="str">
        <f>HYPERLINK("http://www.broadinstitute.org/gsea/msigdb/cards/GOBP_KINETOCHORE_ASSEMBLY.html","GOBP_KINETOCHORE_ASSEMBLY")</f>
        <v>GOBP_KINETOCHORE_ASSEMBLY</v>
      </c>
      <c r="C4210" s="4">
        <v>16</v>
      </c>
      <c r="D4210" s="3">
        <v>0.75909499999999996</v>
      </c>
      <c r="E4210" s="1">
        <v>0.79796266999999999</v>
      </c>
      <c r="F4210" s="2">
        <v>0.94030433999999996</v>
      </c>
    </row>
    <row r="4211" spans="1:6" x14ac:dyDescent="0.25">
      <c r="A4211" t="s">
        <v>7</v>
      </c>
      <c r="B4211" s="5" t="str">
        <f>HYPERLINK("http://www.broadinstitute.org/gsea/msigdb/cards/GOCC_PARALLEL_FIBER_TO_PURKINJE_CELL_SYNAPSE.html","GOCC_PARALLEL_FIBER_TO_PURKINJE_CELL_SYNAPSE")</f>
        <v>GOCC_PARALLEL_FIBER_TO_PURKINJE_CELL_SYNAPSE</v>
      </c>
      <c r="C4211" s="4">
        <v>37</v>
      </c>
      <c r="D4211" s="3">
        <v>0.75907500000000006</v>
      </c>
      <c r="E4211" s="1">
        <v>0.84497445999999998</v>
      </c>
      <c r="F4211" s="2">
        <v>0.94010479999999996</v>
      </c>
    </row>
    <row r="4212" spans="1:6" x14ac:dyDescent="0.25">
      <c r="A4212" t="s">
        <v>6</v>
      </c>
      <c r="B4212" s="5" t="str">
        <f>HYPERLINK("http://www.broadinstitute.org/gsea/msigdb/cards/GOBP_LENS_FIBER_CELL_DIFFERENTIATION.html","GOBP_LENS_FIBER_CELL_DIFFERENTIATION")</f>
        <v>GOBP_LENS_FIBER_CELL_DIFFERENTIATION</v>
      </c>
      <c r="C4212" s="4">
        <v>36</v>
      </c>
      <c r="D4212" s="3">
        <v>0.75900626000000004</v>
      </c>
      <c r="E4212" s="1">
        <v>0.85382060000000004</v>
      </c>
      <c r="F4212" s="2">
        <v>0.93996469999999999</v>
      </c>
    </row>
    <row r="4213" spans="1:6" x14ac:dyDescent="0.25">
      <c r="A4213" t="s">
        <v>6</v>
      </c>
      <c r="B4213" s="5" t="str">
        <f>HYPERLINK("http://www.broadinstitute.org/gsea/msigdb/cards/GOBP_ECTODERMAL_PLACODE_DEVELOPMENT.html","GOBP_ECTODERMAL_PLACODE_DEVELOPMENT")</f>
        <v>GOBP_ECTODERMAL_PLACODE_DEVELOPMENT</v>
      </c>
      <c r="C4213" s="4">
        <v>18</v>
      </c>
      <c r="D4213" s="3">
        <v>0.75885016000000005</v>
      </c>
      <c r="E4213" s="1">
        <v>0.82412059999999998</v>
      </c>
      <c r="F4213" s="2">
        <v>0.93992790000000004</v>
      </c>
    </row>
    <row r="4214" spans="1:6" x14ac:dyDescent="0.25">
      <c r="A4214" t="s">
        <v>7</v>
      </c>
      <c r="B4214" s="5" t="str">
        <f>HYPERLINK("http://www.broadinstitute.org/gsea/msigdb/cards/GOCC_90S_PRERIBOSOME.html","GOCC_90S_PRERIBOSOME")</f>
        <v>GOCC_90S_PRERIBOSOME</v>
      </c>
      <c r="C4214" s="4">
        <v>28</v>
      </c>
      <c r="D4214" s="3">
        <v>0.75848559999999998</v>
      </c>
      <c r="E4214" s="1">
        <v>0.81786939999999997</v>
      </c>
      <c r="F4214" s="2">
        <v>0.94015090000000001</v>
      </c>
    </row>
    <row r="4215" spans="1:6" x14ac:dyDescent="0.25">
      <c r="A4215" t="s">
        <v>8</v>
      </c>
      <c r="B4215" s="5" t="str">
        <f>HYPERLINK("http://www.broadinstitute.org/gsea/msigdb/cards/GOMF_ENZYME_SUBSTRATE_ADAPTOR_ACTIVITY.html","GOMF_ENZYME_SUBSTRATE_ADAPTOR_ACTIVITY")</f>
        <v>GOMF_ENZYME_SUBSTRATE_ADAPTOR_ACTIVITY</v>
      </c>
      <c r="C4215" s="4">
        <v>65</v>
      </c>
      <c r="D4215" s="3">
        <v>0.75828194999999998</v>
      </c>
      <c r="E4215" s="1">
        <v>0.91096980000000005</v>
      </c>
      <c r="F4215" s="2">
        <v>0.94018763000000005</v>
      </c>
    </row>
    <row r="4216" spans="1:6" x14ac:dyDescent="0.25">
      <c r="A4216" t="s">
        <v>6</v>
      </c>
      <c r="B4216" s="5" t="str">
        <f>HYPERLINK("http://www.broadinstitute.org/gsea/msigdb/cards/GOBP_NEGATIVE_REGULATION_OF_DIGESTIVE_SYSTEM_PROCESS.html","GOBP_NEGATIVE_REGULATION_OF_DIGESTIVE_SYSTEM_PROCESS")</f>
        <v>GOBP_NEGATIVE_REGULATION_OF_DIGESTIVE_SYSTEM_PROCESS</v>
      </c>
      <c r="C4216" s="4">
        <v>18</v>
      </c>
      <c r="D4216" s="3">
        <v>0.75788104999999995</v>
      </c>
      <c r="E4216" s="1">
        <v>0.81678079999999997</v>
      </c>
      <c r="F4216" s="2">
        <v>0.94046649999999998</v>
      </c>
    </row>
    <row r="4217" spans="1:6" x14ac:dyDescent="0.25">
      <c r="A4217" t="s">
        <v>6</v>
      </c>
      <c r="B4217" s="5" t="str">
        <f>HYPERLINK("http://www.broadinstitute.org/gsea/msigdb/cards/GOBP_PROTEIN_DEACYLATION.html","GOBP_PROTEIN_DEACYLATION")</f>
        <v>GOBP_PROTEIN_DEACYLATION</v>
      </c>
      <c r="C4217" s="4">
        <v>76</v>
      </c>
      <c r="D4217" s="3">
        <v>0.75710535000000001</v>
      </c>
      <c r="E4217" s="1">
        <v>0.91719746999999996</v>
      </c>
      <c r="F4217" s="2">
        <v>0.94119379999999997</v>
      </c>
    </row>
    <row r="4218" spans="1:6" x14ac:dyDescent="0.25">
      <c r="A4218" t="s">
        <v>8</v>
      </c>
      <c r="B4218" s="5" t="str">
        <f>HYPERLINK("http://www.broadinstitute.org/gsea/msigdb/cards/GOMF_AMINO_ACID_MONOATOMIC_CATION_SYMPORTER_ACTIVITY.html","GOMF_AMINO_ACID_MONOATOMIC_CATION_SYMPORTER_ACTIVITY")</f>
        <v>GOMF_AMINO_ACID_MONOATOMIC_CATION_SYMPORTER_ACTIVITY</v>
      </c>
      <c r="C4218" s="4">
        <v>29</v>
      </c>
      <c r="D4218" s="3">
        <v>0.75703626999999996</v>
      </c>
      <c r="E4218" s="1">
        <v>0.84731542999999998</v>
      </c>
      <c r="F4218" s="2">
        <v>0.94105654999999999</v>
      </c>
    </row>
    <row r="4219" spans="1:6" x14ac:dyDescent="0.25">
      <c r="A4219" t="s">
        <v>7</v>
      </c>
      <c r="B4219" s="5" t="str">
        <f>HYPERLINK("http://www.broadinstitute.org/gsea/msigdb/cards/GOCC_AP_TYPE_MEMBRANE_COAT_ADAPTOR_COMPLEX.html","GOCC_AP_TYPE_MEMBRANE_COAT_ADAPTOR_COMPLEX")</f>
        <v>GOCC_AP_TYPE_MEMBRANE_COAT_ADAPTOR_COMPLEX</v>
      </c>
      <c r="C4219" s="4">
        <v>44</v>
      </c>
      <c r="D4219" s="3">
        <v>0.75645333999999997</v>
      </c>
      <c r="E4219" s="1">
        <v>0.88197769999999998</v>
      </c>
      <c r="F4219" s="2">
        <v>0.94154340000000003</v>
      </c>
    </row>
    <row r="4220" spans="1:6" x14ac:dyDescent="0.25">
      <c r="A4220" t="s">
        <v>6</v>
      </c>
      <c r="B4220" s="5" t="str">
        <f>HYPERLINK("http://www.broadinstitute.org/gsea/msigdb/cards/GOBP_REGULATION_OF_STEROL_TRANSPORT.html","GOBP_REGULATION_OF_STEROL_TRANSPORT")</f>
        <v>GOBP_REGULATION_OF_STEROL_TRANSPORT</v>
      </c>
      <c r="C4220" s="4">
        <v>69</v>
      </c>
      <c r="D4220" s="3">
        <v>0.7561601</v>
      </c>
      <c r="E4220" s="1">
        <v>0.90795630000000005</v>
      </c>
      <c r="F4220" s="2">
        <v>0.94167184999999998</v>
      </c>
    </row>
    <row r="4221" spans="1:6" x14ac:dyDescent="0.25">
      <c r="A4221" t="s">
        <v>6</v>
      </c>
      <c r="B4221" s="5" t="str">
        <f>HYPERLINK("http://www.broadinstitute.org/gsea/msigdb/cards/GOBP_NEURON_RECOGNITION.html","GOBP_NEURON_RECOGNITION")</f>
        <v>GOBP_NEURON_RECOGNITION</v>
      </c>
      <c r="C4221" s="4">
        <v>47</v>
      </c>
      <c r="D4221" s="3">
        <v>0.75525516000000004</v>
      </c>
      <c r="E4221" s="1">
        <v>0.86234175999999996</v>
      </c>
      <c r="F4221" s="2">
        <v>0.94253019999999998</v>
      </c>
    </row>
    <row r="4222" spans="1:6" x14ac:dyDescent="0.25">
      <c r="A4222" t="s">
        <v>6</v>
      </c>
      <c r="B4222" s="5" t="str">
        <f>HYPERLINK("http://www.broadinstitute.org/gsea/msigdb/cards/GOBP_ENGULFMENT_OF_APOPTOTIC_CELL.html","GOBP_ENGULFMENT_OF_APOPTOTIC_CELL")</f>
        <v>GOBP_ENGULFMENT_OF_APOPTOTIC_CELL</v>
      </c>
      <c r="C4222" s="4">
        <v>15</v>
      </c>
      <c r="D4222" s="3">
        <v>0.7542392</v>
      </c>
      <c r="E4222" s="1">
        <v>0.78321680000000005</v>
      </c>
      <c r="F4222" s="2">
        <v>0.9435287</v>
      </c>
    </row>
    <row r="4223" spans="1:6" x14ac:dyDescent="0.25">
      <c r="A4223" t="s">
        <v>6</v>
      </c>
      <c r="B4223" s="5" t="str">
        <f>HYPERLINK("http://www.broadinstitute.org/gsea/msigdb/cards/GOBP_REGULATION_OF_MEMBRANE_PERMEABILITY.html","GOBP_REGULATION_OF_MEMBRANE_PERMEABILITY")</f>
        <v>GOBP_REGULATION_OF_MEMBRANE_PERMEABILITY</v>
      </c>
      <c r="C4223" s="4">
        <v>72</v>
      </c>
      <c r="D4223" s="3">
        <v>0.75399439999999995</v>
      </c>
      <c r="E4223" s="1">
        <v>0.91653790000000002</v>
      </c>
      <c r="F4223" s="2">
        <v>0.94359119999999996</v>
      </c>
    </row>
    <row r="4224" spans="1:6" x14ac:dyDescent="0.25">
      <c r="A4224" t="s">
        <v>6</v>
      </c>
      <c r="B4224" s="5" t="str">
        <f>HYPERLINK("http://www.broadinstitute.org/gsea/msigdb/cards/GOBP_NEGATIVE_REGULATION_OF_MEMBRANE_POTENTIAL.html","GOBP_NEGATIVE_REGULATION_OF_MEMBRANE_POTENTIAL")</f>
        <v>GOBP_NEGATIVE_REGULATION_OF_MEMBRANE_POTENTIAL</v>
      </c>
      <c r="C4224" s="4">
        <v>18</v>
      </c>
      <c r="D4224" s="3">
        <v>0.75351024</v>
      </c>
      <c r="E4224" s="1">
        <v>0.81769913000000005</v>
      </c>
      <c r="F4224" s="2">
        <v>0.94394789999999995</v>
      </c>
    </row>
    <row r="4225" spans="1:6" x14ac:dyDescent="0.25">
      <c r="A4225" t="s">
        <v>6</v>
      </c>
      <c r="B4225" s="5" t="str">
        <f>HYPERLINK("http://www.broadinstitute.org/gsea/msigdb/cards/GOBP_POSITIVE_REGULATION_OF_MEIOTIC_NUCLEAR_DIVISION.html","GOBP_POSITIVE_REGULATION_OF_MEIOTIC_NUCLEAR_DIVISION")</f>
        <v>GOBP_POSITIVE_REGULATION_OF_MEIOTIC_NUCLEAR_DIVISION</v>
      </c>
      <c r="C4225" s="4">
        <v>20</v>
      </c>
      <c r="D4225" s="3">
        <v>0.75340574999999999</v>
      </c>
      <c r="E4225" s="1">
        <v>0.83745579999999997</v>
      </c>
      <c r="F4225" s="2">
        <v>0.94385003999999995</v>
      </c>
    </row>
    <row r="4226" spans="1:6" x14ac:dyDescent="0.25">
      <c r="A4226" t="s">
        <v>11</v>
      </c>
      <c r="B4226" s="5" t="str">
        <f>HYPERLINK("http://www.broadinstitute.org/gsea/msigdb/cards/WP_ONE_CARBON_METABOLISM_AND_RELATED_PATHWAYS.html","WP_ONE_CARBON_METABOLISM_AND_RELATED_PATHWAYS")</f>
        <v>WP_ONE_CARBON_METABOLISM_AND_RELATED_PATHWAYS</v>
      </c>
      <c r="C4226" s="4">
        <v>51</v>
      </c>
      <c r="D4226" s="3">
        <v>0.75335079999999999</v>
      </c>
      <c r="E4226" s="1">
        <v>0.88019970000000003</v>
      </c>
      <c r="F4226" s="2">
        <v>0.94369879999999995</v>
      </c>
    </row>
    <row r="4227" spans="1:6" x14ac:dyDescent="0.25">
      <c r="A4227" t="s">
        <v>6</v>
      </c>
      <c r="B4227" s="5" t="str">
        <f>HYPERLINK("http://www.broadinstitute.org/gsea/msigdb/cards/GOBP_BRANCHING_INVOLVED_IN_MAMMARY_GLAND_DUCT_MORPHOGENESIS.html","GOBP_BRANCHING_INVOLVED_IN_MAMMARY_GLAND_DUCT_MORPHOGENESIS")</f>
        <v>GOBP_BRANCHING_INVOLVED_IN_MAMMARY_GLAND_DUCT_MORPHOGENESIS</v>
      </c>
      <c r="C4227" s="4">
        <v>29</v>
      </c>
      <c r="D4227" s="3">
        <v>0.75332869999999996</v>
      </c>
      <c r="E4227" s="1">
        <v>0.84905660000000005</v>
      </c>
      <c r="F4227" s="2">
        <v>0.94350093999999995</v>
      </c>
    </row>
    <row r="4228" spans="1:6" x14ac:dyDescent="0.25">
      <c r="A4228" t="s">
        <v>6</v>
      </c>
      <c r="B4228" s="5" t="str">
        <f>HYPERLINK("http://www.broadinstitute.org/gsea/msigdb/cards/GOBP_CELLULAR_RESPONSE_TO_FATTY_ACID.html","GOBP_CELLULAR_RESPONSE_TO_FATTY_ACID")</f>
        <v>GOBP_CELLULAR_RESPONSE_TO_FATTY_ACID</v>
      </c>
      <c r="C4228" s="4">
        <v>29</v>
      </c>
      <c r="D4228" s="3">
        <v>0.75317292999999996</v>
      </c>
      <c r="E4228" s="1">
        <v>0.83445950000000002</v>
      </c>
      <c r="F4228" s="2">
        <v>0.94346255000000001</v>
      </c>
    </row>
    <row r="4229" spans="1:6" x14ac:dyDescent="0.25">
      <c r="A4229" t="s">
        <v>6</v>
      </c>
      <c r="B4229" s="5" t="str">
        <f>HYPERLINK("http://www.broadinstitute.org/gsea/msigdb/cards/GOBP_SNRNA_3_END_PROCESSING.html","GOBP_SNRNA_3_END_PROCESSING")</f>
        <v>GOBP_SNRNA_3_END_PROCESSING</v>
      </c>
      <c r="C4229" s="4">
        <v>20</v>
      </c>
      <c r="D4229" s="3">
        <v>0.75316019999999995</v>
      </c>
      <c r="E4229" s="1">
        <v>0.82793870000000003</v>
      </c>
      <c r="F4229" s="2">
        <v>0.94324940000000002</v>
      </c>
    </row>
    <row r="4230" spans="1:6" x14ac:dyDescent="0.25">
      <c r="A4230" t="s">
        <v>6</v>
      </c>
      <c r="B4230" s="5" t="str">
        <f>HYPERLINK("http://www.broadinstitute.org/gsea/msigdb/cards/GOBP_RECEPTOR_CLUSTERING.html","GOBP_RECEPTOR_CLUSTERING")</f>
        <v>GOBP_RECEPTOR_CLUSTERING</v>
      </c>
      <c r="C4230" s="4">
        <v>76</v>
      </c>
      <c r="D4230" s="3">
        <v>0.75301569999999995</v>
      </c>
      <c r="E4230" s="1">
        <v>0.92440944999999997</v>
      </c>
      <c r="F4230" s="2">
        <v>0.94319989999999998</v>
      </c>
    </row>
    <row r="4231" spans="1:6" x14ac:dyDescent="0.25">
      <c r="A4231" t="s">
        <v>6</v>
      </c>
      <c r="B4231" s="5" t="str">
        <f>HYPERLINK("http://www.broadinstitute.org/gsea/msigdb/cards/GOBP_DNA_TEMPLATED_DNA_REPLICATION_MAINTENANCE_OF_FIDELITY.html","GOBP_DNA_TEMPLATED_DNA_REPLICATION_MAINTENANCE_OF_FIDELITY")</f>
        <v>GOBP_DNA_TEMPLATED_DNA_REPLICATION_MAINTENANCE_OF_FIDELITY</v>
      </c>
      <c r="C4231" s="4">
        <v>53</v>
      </c>
      <c r="D4231" s="3">
        <v>0.75222677000000004</v>
      </c>
      <c r="E4231" s="1">
        <v>0.88725489999999996</v>
      </c>
      <c r="F4231" s="2">
        <v>0.94390359999999995</v>
      </c>
    </row>
    <row r="4232" spans="1:6" x14ac:dyDescent="0.25">
      <c r="A4232" t="s">
        <v>10</v>
      </c>
      <c r="B4232" s="5" t="str">
        <f>HYPERLINK("http://www.broadinstitute.org/gsea/msigdb/cards/REACTOME_SHC_MEDIATED_CASCADE_FGFR3.html","REACTOME_SHC_MEDIATED_CASCADE_FGFR3")</f>
        <v>REACTOME_SHC_MEDIATED_CASCADE_FGFR3</v>
      </c>
      <c r="C4232" s="4">
        <v>17</v>
      </c>
      <c r="D4232" s="3">
        <v>0.75169456000000001</v>
      </c>
      <c r="E4232" s="1">
        <v>0.81880339999999996</v>
      </c>
      <c r="F4232" s="2">
        <v>0.94429770000000002</v>
      </c>
    </row>
    <row r="4233" spans="1:6" x14ac:dyDescent="0.25">
      <c r="A4233" t="s">
        <v>6</v>
      </c>
      <c r="B4233" s="5" t="str">
        <f>HYPERLINK("http://www.broadinstitute.org/gsea/msigdb/cards/GOBP_CELLULAR_RESPONSE_TO_PH.html","GOBP_CELLULAR_RESPONSE_TO_PH")</f>
        <v>GOBP_CELLULAR_RESPONSE_TO_PH</v>
      </c>
      <c r="C4233" s="4">
        <v>23</v>
      </c>
      <c r="D4233" s="3">
        <v>0.75154909999999997</v>
      </c>
      <c r="E4233" s="1">
        <v>0.82184875000000002</v>
      </c>
      <c r="F4233" s="2">
        <v>0.94423765000000004</v>
      </c>
    </row>
    <row r="4234" spans="1:6" x14ac:dyDescent="0.25">
      <c r="A4234" t="s">
        <v>6</v>
      </c>
      <c r="B4234" s="5" t="str">
        <f>HYPERLINK("http://www.broadinstitute.org/gsea/msigdb/cards/GOBP_NUCLEOSIDE_BISPHOSPHATE_METABOLIC_PROCESS.html","GOBP_NUCLEOSIDE_BISPHOSPHATE_METABOLIC_PROCESS")</f>
        <v>GOBP_NUCLEOSIDE_BISPHOSPHATE_METABOLIC_PROCESS</v>
      </c>
      <c r="C4234" s="4">
        <v>106</v>
      </c>
      <c r="D4234" s="3">
        <v>0.75142929999999997</v>
      </c>
      <c r="E4234" s="1">
        <v>0.93253374</v>
      </c>
      <c r="F4234" s="2">
        <v>0.94415693999999994</v>
      </c>
    </row>
    <row r="4235" spans="1:6" x14ac:dyDescent="0.25">
      <c r="A4235" t="s">
        <v>6</v>
      </c>
      <c r="B4235" s="5" t="str">
        <f>HYPERLINK("http://www.broadinstitute.org/gsea/msigdb/cards/GOBP_REGULATION_OF_CLATHRIN_DEPENDENT_ENDOCYTOSIS.html","GOBP_REGULATION_OF_CLATHRIN_DEPENDENT_ENDOCYTOSIS")</f>
        <v>GOBP_REGULATION_OF_CLATHRIN_DEPENDENT_ENDOCYTOSIS</v>
      </c>
      <c r="C4235" s="4">
        <v>20</v>
      </c>
      <c r="D4235" s="3">
        <v>0.75107500000000005</v>
      </c>
      <c r="E4235" s="1">
        <v>0.82136600000000004</v>
      </c>
      <c r="F4235" s="2">
        <v>0.9443338</v>
      </c>
    </row>
    <row r="4236" spans="1:6" x14ac:dyDescent="0.25">
      <c r="A4236" t="s">
        <v>6</v>
      </c>
      <c r="B4236" s="5" t="str">
        <f>HYPERLINK("http://www.broadinstitute.org/gsea/msigdb/cards/GOBP_ACTIVATION_OF_ADENYLATE_CYCLASE_ACTIVITY.html","GOBP_ACTIVATION_OF_ADENYLATE_CYCLASE_ACTIVITY")</f>
        <v>GOBP_ACTIVATION_OF_ADENYLATE_CYCLASE_ACTIVITY</v>
      </c>
      <c r="C4236" s="4">
        <v>21</v>
      </c>
      <c r="D4236" s="3">
        <v>0.75083219999999995</v>
      </c>
      <c r="E4236" s="1">
        <v>0.84938705000000003</v>
      </c>
      <c r="F4236" s="2">
        <v>0.9444169</v>
      </c>
    </row>
    <row r="4237" spans="1:6" x14ac:dyDescent="0.25">
      <c r="A4237" t="s">
        <v>6</v>
      </c>
      <c r="B4237" s="5" t="str">
        <f>HYPERLINK("http://www.broadinstitute.org/gsea/msigdb/cards/GOBP_SULFUR_COMPOUND_TRANSPORT.html","GOBP_SULFUR_COMPOUND_TRANSPORT")</f>
        <v>GOBP_SULFUR_COMPOUND_TRANSPORT</v>
      </c>
      <c r="C4237" s="4">
        <v>42</v>
      </c>
      <c r="D4237" s="3">
        <v>0.74991090000000005</v>
      </c>
      <c r="E4237" s="1">
        <v>0.88422816999999998</v>
      </c>
      <c r="F4237" s="2">
        <v>0.94524043999999996</v>
      </c>
    </row>
    <row r="4238" spans="1:6" x14ac:dyDescent="0.25">
      <c r="A4238" t="s">
        <v>8</v>
      </c>
      <c r="B4238" s="5" t="str">
        <f>HYPERLINK("http://www.broadinstitute.org/gsea/msigdb/cards/GOMF_STEROL_BINDING.html","GOMF_STEROL_BINDING")</f>
        <v>GOMF_STEROL_BINDING</v>
      </c>
      <c r="C4238" s="4">
        <v>59</v>
      </c>
      <c r="D4238" s="3">
        <v>0.74962280000000003</v>
      </c>
      <c r="E4238" s="1">
        <v>0.90880989999999995</v>
      </c>
      <c r="F4238" s="2">
        <v>0.94533429999999996</v>
      </c>
    </row>
    <row r="4239" spans="1:6" x14ac:dyDescent="0.25">
      <c r="A4239" t="s">
        <v>10</v>
      </c>
      <c r="B4239" s="5" t="str">
        <f>HYPERLINK("http://www.broadinstitute.org/gsea/msigdb/cards/REACTOME_TRANSCRIPTIONAL_REGULATION_BY_E2F6.html","REACTOME_TRANSCRIPTIONAL_REGULATION_BY_E2F6")</f>
        <v>REACTOME_TRANSCRIPTIONAL_REGULATION_BY_E2F6</v>
      </c>
      <c r="C4239" s="4">
        <v>23</v>
      </c>
      <c r="D4239" s="3">
        <v>0.74885296999999995</v>
      </c>
      <c r="E4239" s="1">
        <v>0.84430176000000001</v>
      </c>
      <c r="F4239" s="2">
        <v>0.94599485000000005</v>
      </c>
    </row>
    <row r="4240" spans="1:6" x14ac:dyDescent="0.25">
      <c r="A4240" t="s">
        <v>6</v>
      </c>
      <c r="B4240" s="5" t="str">
        <f>HYPERLINK("http://www.broadinstitute.org/gsea/msigdb/cards/GOBP_NUCLEAR_ENVELOPE_ORGANIZATION.html","GOBP_NUCLEAR_ENVELOPE_ORGANIZATION")</f>
        <v>GOBP_NUCLEAR_ENVELOPE_ORGANIZATION</v>
      </c>
      <c r="C4240" s="4">
        <v>49</v>
      </c>
      <c r="D4240" s="3">
        <v>0.74766319999999997</v>
      </c>
      <c r="E4240" s="1">
        <v>0.87622149999999999</v>
      </c>
      <c r="F4240" s="2">
        <v>0.94711619999999996</v>
      </c>
    </row>
    <row r="4241" spans="1:6" x14ac:dyDescent="0.25">
      <c r="A4241" t="s">
        <v>6</v>
      </c>
      <c r="B4241" s="5" t="str">
        <f>HYPERLINK("http://www.broadinstitute.org/gsea/msigdb/cards/GOBP_SKELETAL_MUSCLE_CELL_PROLIFERATION.html","GOBP_SKELETAL_MUSCLE_CELL_PROLIFERATION")</f>
        <v>GOBP_SKELETAL_MUSCLE_CELL_PROLIFERATION</v>
      </c>
      <c r="C4241" s="4">
        <v>23</v>
      </c>
      <c r="D4241" s="3">
        <v>0.74617696</v>
      </c>
      <c r="E4241" s="1">
        <v>0.84353739999999999</v>
      </c>
      <c r="F4241" s="2">
        <v>0.94852996000000001</v>
      </c>
    </row>
    <row r="4242" spans="1:6" x14ac:dyDescent="0.25">
      <c r="A4242" t="s">
        <v>7</v>
      </c>
      <c r="B4242" s="5" t="str">
        <f>HYPERLINK("http://www.broadinstitute.org/gsea/msigdb/cards/GOCC_PORE_COMPLEX.html","GOCC_PORE_COMPLEX")</f>
        <v>GOCC_PORE_COMPLEX</v>
      </c>
      <c r="C4242" s="4">
        <v>26</v>
      </c>
      <c r="D4242" s="3">
        <v>0.74550459999999996</v>
      </c>
      <c r="E4242" s="1">
        <v>0.83908044999999998</v>
      </c>
      <c r="F4242" s="2">
        <v>0.94905609999999996</v>
      </c>
    </row>
    <row r="4243" spans="1:6" x14ac:dyDescent="0.25">
      <c r="A4243" t="s">
        <v>10</v>
      </c>
      <c r="B4243" s="5" t="str">
        <f>HYPERLINK("http://www.broadinstitute.org/gsea/msigdb/cards/REACTOME_MITOTIC_SPINDLE_CHECKPOINT.html","REACTOME_MITOTIC_SPINDLE_CHECKPOINT")</f>
        <v>REACTOME_MITOTIC_SPINDLE_CHECKPOINT</v>
      </c>
      <c r="C4243" s="4">
        <v>109</v>
      </c>
      <c r="D4243" s="3">
        <v>0.74519299999999999</v>
      </c>
      <c r="E4243" s="1">
        <v>0.9458647</v>
      </c>
      <c r="F4243" s="2">
        <v>0.94916064</v>
      </c>
    </row>
    <row r="4244" spans="1:6" x14ac:dyDescent="0.25">
      <c r="A4244" t="s">
        <v>11</v>
      </c>
      <c r="B4244" s="5" t="str">
        <f>HYPERLINK("http://www.broadinstitute.org/gsea/msigdb/cards/WP_GLUTATHIONE_AND_ONE_CARBON_METABOLISM.html","WP_GLUTATHIONE_AND_ONE_CARBON_METABOLISM")</f>
        <v>WP_GLUTATHIONE_AND_ONE_CARBON_METABOLISM</v>
      </c>
      <c r="C4244" s="4">
        <v>31</v>
      </c>
      <c r="D4244" s="3">
        <v>0.74411136</v>
      </c>
      <c r="E4244" s="1">
        <v>0.84873949999999998</v>
      </c>
      <c r="F4244" s="2">
        <v>0.95012649999999998</v>
      </c>
    </row>
    <row r="4245" spans="1:6" x14ac:dyDescent="0.25">
      <c r="A4245" t="s">
        <v>7</v>
      </c>
      <c r="B4245" s="5" t="str">
        <f>HYPERLINK("http://www.broadinstitute.org/gsea/msigdb/cards/GOCC_GAMMA_TUBULIN_COMPLEX.html","GOCC_GAMMA_TUBULIN_COMPLEX")</f>
        <v>GOCC_GAMMA_TUBULIN_COMPLEX</v>
      </c>
      <c r="C4245" s="4">
        <v>16</v>
      </c>
      <c r="D4245" s="3">
        <v>0.74402800000000002</v>
      </c>
      <c r="E4245" s="1">
        <v>0.80742049999999999</v>
      </c>
      <c r="F4245" s="2">
        <v>0.94999087000000004</v>
      </c>
    </row>
    <row r="4246" spans="1:6" x14ac:dyDescent="0.25">
      <c r="A4246" t="s">
        <v>6</v>
      </c>
      <c r="B4246" s="5" t="str">
        <f>HYPERLINK("http://www.broadinstitute.org/gsea/msigdb/cards/GOBP_SEGMENTATION.html","GOBP_SEGMENTATION")</f>
        <v>GOBP_SEGMENTATION</v>
      </c>
      <c r="C4246" s="4">
        <v>116</v>
      </c>
      <c r="D4246" s="3">
        <v>0.74397950000000002</v>
      </c>
      <c r="E4246" s="1">
        <v>0.93865030000000005</v>
      </c>
      <c r="F4246" s="2">
        <v>0.94982093999999995</v>
      </c>
    </row>
    <row r="4247" spans="1:6" x14ac:dyDescent="0.25">
      <c r="A4247" t="s">
        <v>6</v>
      </c>
      <c r="B4247" s="5" t="str">
        <f>HYPERLINK("http://www.broadinstitute.org/gsea/msigdb/cards/GOBP_REGULATION_OF_HIPPO_SIGNALING.html","GOBP_REGULATION_OF_HIPPO_SIGNALING")</f>
        <v>GOBP_REGULATION_OF_HIPPO_SIGNALING</v>
      </c>
      <c r="C4247" s="4">
        <v>22</v>
      </c>
      <c r="D4247" s="3">
        <v>0.74346009999999996</v>
      </c>
      <c r="E4247" s="1">
        <v>0.84238179999999996</v>
      </c>
      <c r="F4247" s="2">
        <v>0.95015280000000002</v>
      </c>
    </row>
    <row r="4248" spans="1:6" x14ac:dyDescent="0.25">
      <c r="A4248" t="s">
        <v>8</v>
      </c>
      <c r="B4248" s="5" t="str">
        <f>HYPERLINK("http://www.broadinstitute.org/gsea/msigdb/cards/GOMF_NUCLEAR_RETINOID_X_RECEPTOR_BINDING.html","GOMF_NUCLEAR_RETINOID_X_RECEPTOR_BINDING")</f>
        <v>GOMF_NUCLEAR_RETINOID_X_RECEPTOR_BINDING</v>
      </c>
      <c r="C4248" s="4">
        <v>23</v>
      </c>
      <c r="D4248" s="3">
        <v>0.74325439999999998</v>
      </c>
      <c r="E4248" s="1">
        <v>0.8460145</v>
      </c>
      <c r="F4248" s="2">
        <v>0.95015216000000002</v>
      </c>
    </row>
    <row r="4249" spans="1:6" x14ac:dyDescent="0.25">
      <c r="A4249" t="s">
        <v>8</v>
      </c>
      <c r="B4249" s="5" t="str">
        <f>HYPERLINK("http://www.broadinstitute.org/gsea/msigdb/cards/GOMF_NEUROTRANSMITTER_RECEPTOR_REGULATOR_ACTIVITY.html","GOMF_NEUROTRANSMITTER_RECEPTOR_REGULATOR_ACTIVITY")</f>
        <v>GOMF_NEUROTRANSMITTER_RECEPTOR_REGULATOR_ACTIVITY</v>
      </c>
      <c r="C4249" s="4">
        <v>23</v>
      </c>
      <c r="D4249" s="3">
        <v>0.74260749999999998</v>
      </c>
      <c r="E4249" s="1">
        <v>0.8384992</v>
      </c>
      <c r="F4249" s="2">
        <v>0.9506464</v>
      </c>
    </row>
    <row r="4250" spans="1:6" x14ac:dyDescent="0.25">
      <c r="A4250" t="s">
        <v>6</v>
      </c>
      <c r="B4250" s="5" t="str">
        <f>HYPERLINK("http://www.broadinstitute.org/gsea/msigdb/cards/GOBP_TRNA_METHYLATION.html","GOBP_TRNA_METHYLATION")</f>
        <v>GOBP_TRNA_METHYLATION</v>
      </c>
      <c r="C4250" s="4">
        <v>39</v>
      </c>
      <c r="D4250" s="3">
        <v>0.74240035000000004</v>
      </c>
      <c r="E4250" s="1">
        <v>0.88245034</v>
      </c>
      <c r="F4250" s="2">
        <v>0.95064336000000005</v>
      </c>
    </row>
    <row r="4251" spans="1:6" x14ac:dyDescent="0.25">
      <c r="A4251" t="s">
        <v>10</v>
      </c>
      <c r="B4251" s="5" t="str">
        <f>HYPERLINK("http://www.broadinstitute.org/gsea/msigdb/cards/REACTOME_APC_CDC20_MEDIATED_DEGRADATION_OF_NEK2A.html","REACTOME_APC_CDC20_MEDIATED_DEGRADATION_OF_NEK2A")</f>
        <v>REACTOME_APC_CDC20_MEDIATED_DEGRADATION_OF_NEK2A</v>
      </c>
      <c r="C4251" s="4">
        <v>26</v>
      </c>
      <c r="D4251" s="3">
        <v>0.7419306</v>
      </c>
      <c r="E4251" s="1">
        <v>0.86308490000000004</v>
      </c>
      <c r="F4251" s="2">
        <v>0.95091194000000001</v>
      </c>
    </row>
    <row r="4252" spans="1:6" x14ac:dyDescent="0.25">
      <c r="A4252" t="s">
        <v>6</v>
      </c>
      <c r="B4252" s="5" t="str">
        <f>HYPERLINK("http://www.broadinstitute.org/gsea/msigdb/cards/GOBP_POSITIVE_REGULATION_OF_METAPHASE_ANAPHASE_TRANSITION_OF_CELL_CYCLE.html","GOBP_POSITIVE_REGULATION_OF_METAPHASE_ANAPHASE_TRANSITION_OF_CELL_CYCLE")</f>
        <v>GOBP_POSITIVE_REGULATION_OF_METAPHASE_ANAPHASE_TRANSITION_OF_CELL_CYCLE</v>
      </c>
      <c r="C4252" s="4">
        <v>15</v>
      </c>
      <c r="D4252" s="3">
        <v>0.7415813</v>
      </c>
      <c r="E4252" s="1">
        <v>0.8</v>
      </c>
      <c r="F4252" s="2">
        <v>0.95107580000000003</v>
      </c>
    </row>
    <row r="4253" spans="1:6" x14ac:dyDescent="0.25">
      <c r="A4253" t="s">
        <v>6</v>
      </c>
      <c r="B4253" s="5" t="str">
        <f>HYPERLINK("http://www.broadinstitute.org/gsea/msigdb/cards/GOBP_PEPTIDYL_CYSTEINE_MODIFICATION.html","GOBP_PEPTIDYL_CYSTEINE_MODIFICATION")</f>
        <v>GOBP_PEPTIDYL_CYSTEINE_MODIFICATION</v>
      </c>
      <c r="C4253" s="4">
        <v>45</v>
      </c>
      <c r="D4253" s="3">
        <v>0.74124259999999997</v>
      </c>
      <c r="E4253" s="1">
        <v>0.89456343999999999</v>
      </c>
      <c r="F4253" s="2">
        <v>0.95120484000000005</v>
      </c>
    </row>
    <row r="4254" spans="1:6" x14ac:dyDescent="0.25">
      <c r="A4254" t="s">
        <v>8</v>
      </c>
      <c r="B4254" s="5" t="str">
        <f>HYPERLINK("http://www.broadinstitute.org/gsea/msigdb/cards/GOMF_STEROID_BINDING.html","GOMF_STEROID_BINDING")</f>
        <v>GOMF_STEROID_BINDING</v>
      </c>
      <c r="C4254" s="4">
        <v>105</v>
      </c>
      <c r="D4254" s="3">
        <v>0.74090915999999996</v>
      </c>
      <c r="E4254" s="1">
        <v>0.94785280000000005</v>
      </c>
      <c r="F4254" s="2">
        <v>0.95133860000000003</v>
      </c>
    </row>
    <row r="4255" spans="1:6" x14ac:dyDescent="0.25">
      <c r="A4255" t="s">
        <v>6</v>
      </c>
      <c r="B4255" s="5" t="str">
        <f>HYPERLINK("http://www.broadinstitute.org/gsea/msigdb/cards/GOBP_CELL_CELL_SIGNALING_INVOLVED_IN_CARDIAC_CONDUCTION.html","GOBP_CELL_CELL_SIGNALING_INVOLVED_IN_CARDIAC_CONDUCTION")</f>
        <v>GOBP_CELL_CELL_SIGNALING_INVOLVED_IN_CARDIAC_CONDUCTION</v>
      </c>
      <c r="C4255" s="4">
        <v>27</v>
      </c>
      <c r="D4255" s="3">
        <v>0.74080729999999995</v>
      </c>
      <c r="E4255" s="1">
        <v>0.83978872999999998</v>
      </c>
      <c r="F4255" s="2">
        <v>0.95122200000000001</v>
      </c>
    </row>
    <row r="4256" spans="1:6" x14ac:dyDescent="0.25">
      <c r="A4256" t="s">
        <v>7</v>
      </c>
      <c r="B4256" s="5" t="str">
        <f>HYPERLINK("http://www.broadinstitute.org/gsea/msigdb/cards/GOCC_FILOPODIUM_TIP.html","GOCC_FILOPODIUM_TIP")</f>
        <v>GOCC_FILOPODIUM_TIP</v>
      </c>
      <c r="C4256" s="4">
        <v>18</v>
      </c>
      <c r="D4256" s="3">
        <v>0.74069240000000003</v>
      </c>
      <c r="E4256" s="1">
        <v>0.83022070000000003</v>
      </c>
      <c r="F4256" s="2">
        <v>0.95112026000000005</v>
      </c>
    </row>
    <row r="4257" spans="1:6" x14ac:dyDescent="0.25">
      <c r="A4257" t="s">
        <v>6</v>
      </c>
      <c r="B4257" s="5" t="str">
        <f>HYPERLINK("http://www.broadinstitute.org/gsea/msigdb/cards/GOBP_REGULATION_OF_INTRINSIC_APOPTOTIC_SIGNALING_PATHWAY_BY_P53_CLASS_MEDIATOR.html","GOBP_REGULATION_OF_INTRINSIC_APOPTOTIC_SIGNALING_PATHWAY_BY_P53_CLASS_MEDIATOR")</f>
        <v>GOBP_REGULATION_OF_INTRINSIC_APOPTOTIC_SIGNALING_PATHWAY_BY_P53_CLASS_MEDIATOR</v>
      </c>
      <c r="C4257" s="4">
        <v>36</v>
      </c>
      <c r="D4257" s="3">
        <v>0.74067503000000001</v>
      </c>
      <c r="E4257" s="1">
        <v>0.8865132</v>
      </c>
      <c r="F4257" s="2">
        <v>0.95091486000000003</v>
      </c>
    </row>
    <row r="4258" spans="1:6" x14ac:dyDescent="0.25">
      <c r="A4258" t="s">
        <v>6</v>
      </c>
      <c r="B4258" s="5" t="str">
        <f>HYPERLINK("http://www.broadinstitute.org/gsea/msigdb/cards/GOBP_REGULATION_OF_APOPTOTIC_PROCESS_INVOLVED_IN_DEVELOPMENT.html","GOBP_REGULATION_OF_APOPTOTIC_PROCESS_INVOLVED_IN_DEVELOPMENT")</f>
        <v>GOBP_REGULATION_OF_APOPTOTIC_PROCESS_INVOLVED_IN_DEVELOPMENT</v>
      </c>
      <c r="C4258" s="4">
        <v>15</v>
      </c>
      <c r="D4258" s="3">
        <v>0.74061690000000002</v>
      </c>
      <c r="E4258" s="1">
        <v>0.8199301</v>
      </c>
      <c r="F4258" s="2">
        <v>0.95075684999999999</v>
      </c>
    </row>
    <row r="4259" spans="1:6" x14ac:dyDescent="0.25">
      <c r="A4259" t="s">
        <v>10</v>
      </c>
      <c r="B4259" s="5" t="str">
        <f>HYPERLINK("http://www.broadinstitute.org/gsea/msigdb/cards/REACTOME_DOWNSTREAM_SIGNALING_OF_ACTIVATED_FGFR4.html","REACTOME_DOWNSTREAM_SIGNALING_OF_ACTIVATED_FGFR4")</f>
        <v>REACTOME_DOWNSTREAM_SIGNALING_OF_ACTIVATED_FGFR4</v>
      </c>
      <c r="C4259" s="4">
        <v>26</v>
      </c>
      <c r="D4259" s="3">
        <v>0.74006079999999996</v>
      </c>
      <c r="E4259" s="1">
        <v>0.85361843999999998</v>
      </c>
      <c r="F4259" s="2">
        <v>0.95113780000000003</v>
      </c>
    </row>
    <row r="4260" spans="1:6" x14ac:dyDescent="0.25">
      <c r="A4260" t="s">
        <v>8</v>
      </c>
      <c r="B4260" s="5" t="str">
        <f>HYPERLINK("http://www.broadinstitute.org/gsea/msigdb/cards/GOMF_GABA_RECEPTOR_BINDING.html","GOMF_GABA_RECEPTOR_BINDING")</f>
        <v>GOMF_GABA_RECEPTOR_BINDING</v>
      </c>
      <c r="C4260" s="4">
        <v>18</v>
      </c>
      <c r="D4260" s="3">
        <v>0.74002254000000001</v>
      </c>
      <c r="E4260" s="1">
        <v>0.83449477000000005</v>
      </c>
      <c r="F4260" s="2">
        <v>0.95095443999999996</v>
      </c>
    </row>
    <row r="4261" spans="1:6" x14ac:dyDescent="0.25">
      <c r="A4261" t="s">
        <v>6</v>
      </c>
      <c r="B4261" s="5" t="str">
        <f>HYPERLINK("http://www.broadinstitute.org/gsea/msigdb/cards/GOBP_REGULATION_OF_SPINDLE_ORGANIZATION.html","GOBP_REGULATION_OF_SPINDLE_ORGANIZATION")</f>
        <v>GOBP_REGULATION_OF_SPINDLE_ORGANIZATION</v>
      </c>
      <c r="C4261" s="4">
        <v>44</v>
      </c>
      <c r="D4261" s="3">
        <v>0.73971169999999997</v>
      </c>
      <c r="E4261" s="1">
        <v>0.90231790000000001</v>
      </c>
      <c r="F4261" s="2">
        <v>0.95105360000000005</v>
      </c>
    </row>
    <row r="4262" spans="1:6" x14ac:dyDescent="0.25">
      <c r="A4262" t="s">
        <v>8</v>
      </c>
      <c r="B4262" s="5" t="str">
        <f>HYPERLINK("http://www.broadinstitute.org/gsea/msigdb/cards/GOMF_PROTEIN_TRANSMEMBRANE_TRANSPORTER_ACTIVITY.html","GOMF_PROTEIN_TRANSMEMBRANE_TRANSPORTER_ACTIVITY")</f>
        <v>GOMF_PROTEIN_TRANSMEMBRANE_TRANSPORTER_ACTIVITY</v>
      </c>
      <c r="C4262" s="4">
        <v>19</v>
      </c>
      <c r="D4262" s="3">
        <v>0.73958449999999998</v>
      </c>
      <c r="E4262" s="1">
        <v>0.83717109999999995</v>
      </c>
      <c r="F4262" s="2">
        <v>0.95096844000000003</v>
      </c>
    </row>
    <row r="4263" spans="1:6" x14ac:dyDescent="0.25">
      <c r="A4263" t="s">
        <v>8</v>
      </c>
      <c r="B4263" s="5" t="str">
        <f>HYPERLINK("http://www.broadinstitute.org/gsea/msigdb/cards/GOMF_MRNA_5_UTR_BINDING.html","GOMF_MRNA_5_UTR_BINDING")</f>
        <v>GOMF_MRNA_5_UTR_BINDING</v>
      </c>
      <c r="C4263" s="4">
        <v>26</v>
      </c>
      <c r="D4263" s="3">
        <v>0.73921479999999995</v>
      </c>
      <c r="E4263" s="1">
        <v>0.85617595999999996</v>
      </c>
      <c r="F4263" s="2">
        <v>0.95113159999999997</v>
      </c>
    </row>
    <row r="4264" spans="1:6" x14ac:dyDescent="0.25">
      <c r="A4264" t="s">
        <v>6</v>
      </c>
      <c r="B4264" s="5" t="str">
        <f>HYPERLINK("http://www.broadinstitute.org/gsea/msigdb/cards/GOBP_POSITIVE_REGULATION_OF_DNA_DAMAGE_RESPONSE_SIGNAL_TRANSDUCTION_BY_P53_CLASS_MEDIATOR.html","GOBP_POSITIVE_REGULATION_OF_DNA_DAMAGE_RESPONSE_SIGNAL_TRANSDUCTION_BY_P53_CLASS_MEDIATOR")</f>
        <v>GOBP_POSITIVE_REGULATION_OF_DNA_DAMAGE_RESPONSE_SIGNAL_TRANSDUCTION_BY_P53_CLASS_MEDIATOR</v>
      </c>
      <c r="C4264" s="4">
        <v>15</v>
      </c>
      <c r="D4264" s="3">
        <v>0.73860924999999999</v>
      </c>
      <c r="E4264" s="1">
        <v>0.84417810000000004</v>
      </c>
      <c r="F4264" s="2">
        <v>0.95155232999999995</v>
      </c>
    </row>
    <row r="4265" spans="1:6" x14ac:dyDescent="0.25">
      <c r="A4265" t="s">
        <v>8</v>
      </c>
      <c r="B4265" s="5" t="str">
        <f>HYPERLINK("http://www.broadinstitute.org/gsea/msigdb/cards/GOMF_L_AMINO_ACID_TRANSMEMBRANE_TRANSPORTER_ACTIVITY.html","GOMF_L_AMINO_ACID_TRANSMEMBRANE_TRANSPORTER_ACTIVITY")</f>
        <v>GOMF_L_AMINO_ACID_TRANSMEMBRANE_TRANSPORTER_ACTIVITY</v>
      </c>
      <c r="C4265" s="4">
        <v>66</v>
      </c>
      <c r="D4265" s="3">
        <v>0.73859059999999999</v>
      </c>
      <c r="E4265" s="1">
        <v>0.91446346000000001</v>
      </c>
      <c r="F4265" s="2">
        <v>0.95134693000000004</v>
      </c>
    </row>
    <row r="4266" spans="1:6" x14ac:dyDescent="0.25">
      <c r="A4266" t="s">
        <v>6</v>
      </c>
      <c r="B4266" s="5" t="str">
        <f>HYPERLINK("http://www.broadinstitute.org/gsea/msigdb/cards/GOBP_CELLULAR_RESPONSE_TO_NUTRIENT.html","GOBP_CELLULAR_RESPONSE_TO_NUTRIENT")</f>
        <v>GOBP_CELLULAR_RESPONSE_TO_NUTRIENT</v>
      </c>
      <c r="C4266" s="4">
        <v>37</v>
      </c>
      <c r="D4266" s="3">
        <v>0.73791074999999995</v>
      </c>
      <c r="E4266" s="1">
        <v>0.90180033000000004</v>
      </c>
      <c r="F4266" s="2">
        <v>0.95182670000000003</v>
      </c>
    </row>
    <row r="4267" spans="1:6" x14ac:dyDescent="0.25">
      <c r="A4267" t="s">
        <v>10</v>
      </c>
      <c r="B4267" s="5" t="str">
        <f>HYPERLINK("http://www.broadinstitute.org/gsea/msigdb/cards/REACTOME_PHOSPHOLIPASE_C_MEDIATED_CASCADE_FGFR1.html","REACTOME_PHOSPHOLIPASE_C_MEDIATED_CASCADE_FGFR1")</f>
        <v>REACTOME_PHOSPHOLIPASE_C_MEDIATED_CASCADE_FGFR1</v>
      </c>
      <c r="C4267" s="4">
        <v>16</v>
      </c>
      <c r="D4267" s="3">
        <v>0.73773354000000002</v>
      </c>
      <c r="E4267" s="1">
        <v>0.82014390000000004</v>
      </c>
      <c r="F4267" s="2">
        <v>0.951797</v>
      </c>
    </row>
    <row r="4268" spans="1:6" x14ac:dyDescent="0.25">
      <c r="A4268" t="s">
        <v>11</v>
      </c>
      <c r="B4268" s="5" t="str">
        <f>HYPERLINK("http://www.broadinstitute.org/gsea/msigdb/cards/WP_GPCRS_ORPHAN.html","WP_GPCRS_ORPHAN")</f>
        <v>WP_GPCRS_ORPHAN</v>
      </c>
      <c r="C4268" s="4">
        <v>17</v>
      </c>
      <c r="D4268" s="3">
        <v>0.73742949999999996</v>
      </c>
      <c r="E4268" s="1">
        <v>0.84150325999999998</v>
      </c>
      <c r="F4268" s="2">
        <v>0.95189214</v>
      </c>
    </row>
    <row r="4269" spans="1:6" x14ac:dyDescent="0.25">
      <c r="A4269" t="s">
        <v>10</v>
      </c>
      <c r="B4269" s="5" t="str">
        <f>HYPERLINK("http://www.broadinstitute.org/gsea/msigdb/cards/REACTOME_METABOLISM_OF_STEROID_HORMONES.html","REACTOME_METABOLISM_OF_STEROID_HORMONES")</f>
        <v>REACTOME_METABOLISM_OF_STEROID_HORMONES</v>
      </c>
      <c r="C4269" s="4">
        <v>31</v>
      </c>
      <c r="D4269" s="3">
        <v>0.73636190000000001</v>
      </c>
      <c r="E4269" s="1">
        <v>0.86528499999999997</v>
      </c>
      <c r="F4269" s="2">
        <v>0.95279384</v>
      </c>
    </row>
    <row r="4270" spans="1:6" x14ac:dyDescent="0.25">
      <c r="A4270" t="s">
        <v>10</v>
      </c>
      <c r="B4270" s="5" t="str">
        <f>HYPERLINK("http://www.broadinstitute.org/gsea/msigdb/cards/REACTOME_AMPLIFICATION_OF_SIGNAL_FROM_THE_KINETOCHORES.html","REACTOME_AMPLIFICATION_OF_SIGNAL_FROM_THE_KINETOCHORES")</f>
        <v>REACTOME_AMPLIFICATION_OF_SIGNAL_FROM_THE_KINETOCHORES</v>
      </c>
      <c r="C4270" s="4">
        <v>92</v>
      </c>
      <c r="D4270" s="3">
        <v>0.73582745000000005</v>
      </c>
      <c r="E4270" s="1">
        <v>0.94582045000000003</v>
      </c>
      <c r="F4270" s="2">
        <v>0.95312554000000005</v>
      </c>
    </row>
    <row r="4271" spans="1:6" x14ac:dyDescent="0.25">
      <c r="A4271" t="s">
        <v>6</v>
      </c>
      <c r="B4271" s="5" t="str">
        <f>HYPERLINK("http://www.broadinstitute.org/gsea/msigdb/cards/GOBP_REGULATION_OF_AUTOPHAGY_OF_MITOCHONDRION_IN_RESPONSE_TO_MITOCHONDRIAL_DEPOLARIZATION.html","GOBP_REGULATION_OF_AUTOPHAGY_OF_MITOCHONDRION_IN_RESPONSE_TO_MITOCHONDRIAL_DEPOLARIZATION")</f>
        <v>GOBP_REGULATION_OF_AUTOPHAGY_OF_MITOCHONDRION_IN_RESPONSE_TO_MITOCHONDRIAL_DEPOLARIZATION</v>
      </c>
      <c r="C4271" s="4">
        <v>16</v>
      </c>
      <c r="D4271" s="3">
        <v>0.73467194999999996</v>
      </c>
      <c r="E4271" s="1">
        <v>0.83617746999999998</v>
      </c>
      <c r="F4271" s="2">
        <v>0.95409109999999997</v>
      </c>
    </row>
    <row r="4272" spans="1:6" x14ac:dyDescent="0.25">
      <c r="A4272" t="s">
        <v>7</v>
      </c>
      <c r="B4272" s="5" t="str">
        <f>HYPERLINK("http://www.broadinstitute.org/gsea/msigdb/cards/GOCC_PRERIBOSOME_LARGE_SUBUNIT_PRECURSOR.html","GOCC_PRERIBOSOME_LARGE_SUBUNIT_PRECURSOR")</f>
        <v>GOCC_PRERIBOSOME_LARGE_SUBUNIT_PRECURSOR</v>
      </c>
      <c r="C4272" s="4">
        <v>20</v>
      </c>
      <c r="D4272" s="3">
        <v>0.73437779999999997</v>
      </c>
      <c r="E4272" s="1">
        <v>0.84050179999999997</v>
      </c>
      <c r="F4272" s="2">
        <v>0.95415539999999999</v>
      </c>
    </row>
    <row r="4273" spans="1:6" x14ac:dyDescent="0.25">
      <c r="A4273" t="s">
        <v>6</v>
      </c>
      <c r="B4273" s="5" t="str">
        <f>HYPERLINK("http://www.broadinstitute.org/gsea/msigdb/cards/GOBP_DEVELOPMENTAL_PIGMENTATION.html","GOBP_DEVELOPMENTAL_PIGMENTATION")</f>
        <v>GOBP_DEVELOPMENTAL_PIGMENTATION</v>
      </c>
      <c r="C4273" s="4">
        <v>54</v>
      </c>
      <c r="D4273" s="3">
        <v>0.73405390000000004</v>
      </c>
      <c r="E4273" s="1">
        <v>0.91679999999999995</v>
      </c>
      <c r="F4273" s="2">
        <v>0.95426416000000003</v>
      </c>
    </row>
    <row r="4274" spans="1:6" x14ac:dyDescent="0.25">
      <c r="A4274" t="s">
        <v>6</v>
      </c>
      <c r="B4274" s="5" t="str">
        <f>HYPERLINK("http://www.broadinstitute.org/gsea/msigdb/cards/GOBP_SUCKLING_BEHAVIOR.html","GOBP_SUCKLING_BEHAVIOR")</f>
        <v>GOBP_SUCKLING_BEHAVIOR</v>
      </c>
      <c r="C4274" s="4">
        <v>17</v>
      </c>
      <c r="D4274" s="3">
        <v>0.73352640000000002</v>
      </c>
      <c r="E4274" s="1">
        <v>0.85688405999999995</v>
      </c>
      <c r="F4274" s="2">
        <v>0.95456814999999995</v>
      </c>
    </row>
    <row r="4275" spans="1:6" x14ac:dyDescent="0.25">
      <c r="A4275" t="s">
        <v>6</v>
      </c>
      <c r="B4275" s="5" t="str">
        <f>HYPERLINK("http://www.broadinstitute.org/gsea/msigdb/cards/GOBP_SENSORY_PERCEPTION_OF_LIGHT_STIMULUS.html","GOBP_SENSORY_PERCEPTION_OF_LIGHT_STIMULUS")</f>
        <v>GOBP_SENSORY_PERCEPTION_OF_LIGHT_STIMULUS</v>
      </c>
      <c r="C4275" s="4">
        <v>154</v>
      </c>
      <c r="D4275" s="3">
        <v>0.73303865999999995</v>
      </c>
      <c r="E4275" s="1">
        <v>0.98121387000000004</v>
      </c>
      <c r="F4275" s="2">
        <v>0.95481839999999996</v>
      </c>
    </row>
    <row r="4276" spans="1:6" x14ac:dyDescent="0.25">
      <c r="A4276" t="s">
        <v>6</v>
      </c>
      <c r="B4276" s="5" t="str">
        <f>HYPERLINK("http://www.broadinstitute.org/gsea/msigdb/cards/GOBP_POSITIVE_REGULATION_OF_NEUROTRANSMITTER_TRANSPORT.html","GOBP_POSITIVE_REGULATION_OF_NEUROTRANSMITTER_TRANSPORT")</f>
        <v>GOBP_POSITIVE_REGULATION_OF_NEUROTRANSMITTER_TRANSPORT</v>
      </c>
      <c r="C4276" s="4">
        <v>30</v>
      </c>
      <c r="D4276" s="3">
        <v>0.73264209999999996</v>
      </c>
      <c r="E4276" s="1">
        <v>0.8528</v>
      </c>
      <c r="F4276" s="2">
        <v>0.95497679999999996</v>
      </c>
    </row>
    <row r="4277" spans="1:6" x14ac:dyDescent="0.25">
      <c r="A4277" t="s">
        <v>6</v>
      </c>
      <c r="B4277" s="5" t="str">
        <f>HYPERLINK("http://www.broadinstitute.org/gsea/msigdb/cards/GOBP_NAD_METABOLIC_PROCESS.html","GOBP_NAD_METABOLIC_PROCESS")</f>
        <v>GOBP_NAD_METABOLIC_PROCESS</v>
      </c>
      <c r="C4277" s="4">
        <v>37</v>
      </c>
      <c r="D4277" s="3">
        <v>0.73174740000000005</v>
      </c>
      <c r="E4277" s="1">
        <v>0.86622069999999995</v>
      </c>
      <c r="F4277" s="2">
        <v>0.9556578</v>
      </c>
    </row>
    <row r="4278" spans="1:6" x14ac:dyDescent="0.25">
      <c r="A4278" t="s">
        <v>8</v>
      </c>
      <c r="B4278" s="5" t="str">
        <f>HYPERLINK("http://www.broadinstitute.org/gsea/msigdb/cards/GOMF_ODORANT_BINDING.html","GOMF_ODORANT_BINDING")</f>
        <v>GOMF_ODORANT_BINDING</v>
      </c>
      <c r="C4278" s="4">
        <v>92</v>
      </c>
      <c r="D4278" s="3">
        <v>0.73174660000000002</v>
      </c>
      <c r="E4278" s="1">
        <v>0.93739969999999995</v>
      </c>
      <c r="F4278" s="2">
        <v>0.95543549999999999</v>
      </c>
    </row>
    <row r="4279" spans="1:6" x14ac:dyDescent="0.25">
      <c r="A4279" t="s">
        <v>6</v>
      </c>
      <c r="B4279" s="5" t="str">
        <f>HYPERLINK("http://www.broadinstitute.org/gsea/msigdb/cards/GOBP_PROTEIN_K11_LINKED_UBIQUITINATION.html","GOBP_PROTEIN_K11_LINKED_UBIQUITINATION")</f>
        <v>GOBP_PROTEIN_K11_LINKED_UBIQUITINATION</v>
      </c>
      <c r="C4279" s="4">
        <v>27</v>
      </c>
      <c r="D4279" s="3">
        <v>0.73165745000000004</v>
      </c>
      <c r="E4279" s="1">
        <v>0.8777372</v>
      </c>
      <c r="F4279" s="2">
        <v>0.95530890000000002</v>
      </c>
    </row>
    <row r="4280" spans="1:6" x14ac:dyDescent="0.25">
      <c r="A4280" t="s">
        <v>6</v>
      </c>
      <c r="B4280" s="5" t="str">
        <f>HYPERLINK("http://www.broadinstitute.org/gsea/msigdb/cards/GOBP_NEGATIVE_REGULATION_OF_BEHAVIOR.html","GOBP_NEGATIVE_REGULATION_OF_BEHAVIOR")</f>
        <v>GOBP_NEGATIVE_REGULATION_OF_BEHAVIOR</v>
      </c>
      <c r="C4280" s="4">
        <v>25</v>
      </c>
      <c r="D4280" s="3">
        <v>0.731653</v>
      </c>
      <c r="E4280" s="1">
        <v>0.86912750000000005</v>
      </c>
      <c r="F4280" s="2">
        <v>0.95509016999999996</v>
      </c>
    </row>
    <row r="4281" spans="1:6" x14ac:dyDescent="0.25">
      <c r="A4281" t="s">
        <v>6</v>
      </c>
      <c r="B4281" s="5" t="str">
        <f>HYPERLINK("http://www.broadinstitute.org/gsea/msigdb/cards/GOBP_ALCOHOL_CATABOLIC_PROCESS.html","GOBP_ALCOHOL_CATABOLIC_PROCESS")</f>
        <v>GOBP_ALCOHOL_CATABOLIC_PROCESS</v>
      </c>
      <c r="C4281" s="4">
        <v>31</v>
      </c>
      <c r="D4281" s="3">
        <v>0.73159987000000004</v>
      </c>
      <c r="E4281" s="1">
        <v>0.86138610000000004</v>
      </c>
      <c r="F4281" s="2">
        <v>0.95492535999999995</v>
      </c>
    </row>
    <row r="4282" spans="1:6" x14ac:dyDescent="0.25">
      <c r="A4282" t="s">
        <v>10</v>
      </c>
      <c r="B4282" s="5" t="str">
        <f>HYPERLINK("http://www.broadinstitute.org/gsea/msigdb/cards/REACTOME_CONVERSION_FROM_APC_C_CDC20_TO_APC_C_CDH1_IN_LATE_ANAPHASE.html","REACTOME_CONVERSION_FROM_APC_C_CDC20_TO_APC_C_CDH1_IN_LATE_ANAPHASE")</f>
        <v>REACTOME_CONVERSION_FROM_APC_C_CDC20_TO_APC_C_CDH1_IN_LATE_ANAPHASE</v>
      </c>
      <c r="C4282" s="4">
        <v>20</v>
      </c>
      <c r="D4282" s="3">
        <v>0.73121829999999999</v>
      </c>
      <c r="E4282" s="1">
        <v>0.83957219999999999</v>
      </c>
      <c r="F4282" s="2">
        <v>0.95506999999999997</v>
      </c>
    </row>
    <row r="4283" spans="1:6" x14ac:dyDescent="0.25">
      <c r="A4283" t="s">
        <v>11</v>
      </c>
      <c r="B4283" s="5" t="str">
        <f>HYPERLINK("http://www.broadinstitute.org/gsea/msigdb/cards/WP_ONE_CARBON_METABOLISM.html","WP_ONE_CARBON_METABOLISM")</f>
        <v>WP_ONE_CARBON_METABOLISM</v>
      </c>
      <c r="C4283" s="4">
        <v>29</v>
      </c>
      <c r="D4283" s="3">
        <v>0.73043899999999995</v>
      </c>
      <c r="E4283" s="1">
        <v>0.87541526999999997</v>
      </c>
      <c r="F4283" s="2">
        <v>0.95556839999999998</v>
      </c>
    </row>
    <row r="4284" spans="1:6" x14ac:dyDescent="0.25">
      <c r="A4284" t="s">
        <v>6</v>
      </c>
      <c r="B4284" s="5" t="str">
        <f>HYPERLINK("http://www.broadinstitute.org/gsea/msigdb/cards/GOBP_SPINAL_CORD_PATTERNING.html","GOBP_SPINAL_CORD_PATTERNING")</f>
        <v>GOBP_SPINAL_CORD_PATTERNING</v>
      </c>
      <c r="C4284" s="4">
        <v>23</v>
      </c>
      <c r="D4284" s="3">
        <v>0.73010339999999996</v>
      </c>
      <c r="E4284" s="1">
        <v>0.83510640000000003</v>
      </c>
      <c r="F4284" s="2">
        <v>0.95567150000000001</v>
      </c>
    </row>
    <row r="4285" spans="1:6" x14ac:dyDescent="0.25">
      <c r="A4285" t="s">
        <v>6</v>
      </c>
      <c r="B4285" s="5" t="str">
        <f>HYPERLINK("http://www.broadinstitute.org/gsea/msigdb/cards/GOBP_EXPORT_ACROSS_PLASMA_MEMBRANE.html","GOBP_EXPORT_ACROSS_PLASMA_MEMBRANE")</f>
        <v>GOBP_EXPORT_ACROSS_PLASMA_MEMBRANE</v>
      </c>
      <c r="C4285" s="4">
        <v>69</v>
      </c>
      <c r="D4285" s="3">
        <v>0.72949134999999998</v>
      </c>
      <c r="E4285" s="1">
        <v>0.93040849999999997</v>
      </c>
      <c r="F4285" s="2">
        <v>0.95604809999999996</v>
      </c>
    </row>
    <row r="4286" spans="1:6" x14ac:dyDescent="0.25">
      <c r="A4286" t="s">
        <v>6</v>
      </c>
      <c r="B4286" s="5" t="str">
        <f>HYPERLINK("http://www.broadinstitute.org/gsea/msigdb/cards/GOBP_NEGATIVE_REGULATION_OF_MITOTIC_CELL_CYCLE.html","GOBP_NEGATIVE_REGULATION_OF_MITOTIC_CELL_CYCLE")</f>
        <v>GOBP_NEGATIVE_REGULATION_OF_MITOTIC_CELL_CYCLE</v>
      </c>
      <c r="C4286" s="4">
        <v>230</v>
      </c>
      <c r="D4286" s="3">
        <v>0.72686919999999999</v>
      </c>
      <c r="E4286" s="1">
        <v>0.99440556999999996</v>
      </c>
      <c r="F4286" s="2">
        <v>0.9583602</v>
      </c>
    </row>
    <row r="4287" spans="1:6" x14ac:dyDescent="0.25">
      <c r="A4287" t="s">
        <v>6</v>
      </c>
      <c r="B4287" s="5" t="str">
        <f>HYPERLINK("http://www.broadinstitute.org/gsea/msigdb/cards/GOBP_SNRNA_PROCESSING.html","GOBP_SNRNA_PROCESSING")</f>
        <v>GOBP_SNRNA_PROCESSING</v>
      </c>
      <c r="C4287" s="4">
        <v>24</v>
      </c>
      <c r="D4287" s="3">
        <v>0.72647609999999996</v>
      </c>
      <c r="E4287" s="1">
        <v>0.85294115999999998</v>
      </c>
      <c r="F4287" s="2">
        <v>0.95851624000000002</v>
      </c>
    </row>
    <row r="4288" spans="1:6" x14ac:dyDescent="0.25">
      <c r="A4288" t="s">
        <v>6</v>
      </c>
      <c r="B4288" s="5" t="str">
        <f>HYPERLINK("http://www.broadinstitute.org/gsea/msigdb/cards/GOBP_REGULATION_OF_APPETITE.html","GOBP_REGULATION_OF_APPETITE")</f>
        <v>GOBP_REGULATION_OF_APPETITE</v>
      </c>
      <c r="C4288" s="4">
        <v>25</v>
      </c>
      <c r="D4288" s="3">
        <v>0.72639350000000003</v>
      </c>
      <c r="E4288" s="1">
        <v>0.86678200000000005</v>
      </c>
      <c r="F4288" s="2">
        <v>0.95836615999999997</v>
      </c>
    </row>
    <row r="4289" spans="1:6" x14ac:dyDescent="0.25">
      <c r="A4289" t="s">
        <v>10</v>
      </c>
      <c r="B4289" s="5" t="str">
        <f>HYPERLINK("http://www.broadinstitute.org/gsea/msigdb/cards/REACTOME_FRS_MEDIATED_FGFR3_SIGNALING.html","REACTOME_FRS_MEDIATED_FGFR3_SIGNALING")</f>
        <v>REACTOME_FRS_MEDIATED_FGFR3_SIGNALING</v>
      </c>
      <c r="C4289" s="4">
        <v>19</v>
      </c>
      <c r="D4289" s="3">
        <v>0.72608715000000001</v>
      </c>
      <c r="E4289" s="1">
        <v>0.85304659999999999</v>
      </c>
      <c r="F4289" s="2">
        <v>0.95843350000000005</v>
      </c>
    </row>
    <row r="4290" spans="1:6" x14ac:dyDescent="0.25">
      <c r="A4290" t="s">
        <v>6</v>
      </c>
      <c r="B4290" s="5" t="str">
        <f>HYPERLINK("http://www.broadinstitute.org/gsea/msigdb/cards/GOBP_AMINO_ACID_BIOSYNTHETIC_PROCESS.html","GOBP_AMINO_ACID_BIOSYNTHETIC_PROCESS")</f>
        <v>GOBP_AMINO_ACID_BIOSYNTHETIC_PROCESS</v>
      </c>
      <c r="C4290" s="4">
        <v>66</v>
      </c>
      <c r="D4290" s="3">
        <v>0.72567360000000003</v>
      </c>
      <c r="E4290" s="1">
        <v>0.94383775999999997</v>
      </c>
      <c r="F4290" s="2">
        <v>0.95861149999999995</v>
      </c>
    </row>
    <row r="4291" spans="1:6" x14ac:dyDescent="0.25">
      <c r="A4291" t="s">
        <v>6</v>
      </c>
      <c r="B4291" s="5" t="str">
        <f>HYPERLINK("http://www.broadinstitute.org/gsea/msigdb/cards/GOBP_REGULATION_OF_METALLOPEPTIDASE_ACTIVITY.html","GOBP_REGULATION_OF_METALLOPEPTIDASE_ACTIVITY")</f>
        <v>GOBP_REGULATION_OF_METALLOPEPTIDASE_ACTIVITY</v>
      </c>
      <c r="C4291" s="4">
        <v>15</v>
      </c>
      <c r="D4291" s="3">
        <v>0.72504869999999999</v>
      </c>
      <c r="E4291" s="1">
        <v>0.84055460000000004</v>
      </c>
      <c r="F4291" s="2">
        <v>0.95897739999999998</v>
      </c>
    </row>
    <row r="4292" spans="1:6" x14ac:dyDescent="0.25">
      <c r="A4292" t="s">
        <v>6</v>
      </c>
      <c r="B4292" s="5" t="str">
        <f>HYPERLINK("http://www.broadinstitute.org/gsea/msigdb/cards/GOBP_ESTABLISHMENT_OF_SPINDLE_ORIENTATION.html","GOBP_ESTABLISHMENT_OF_SPINDLE_ORIENTATION")</f>
        <v>GOBP_ESTABLISHMENT_OF_SPINDLE_ORIENTATION</v>
      </c>
      <c r="C4292" s="4">
        <v>43</v>
      </c>
      <c r="D4292" s="3">
        <v>0.72490096000000004</v>
      </c>
      <c r="E4292" s="1">
        <v>0.90322579999999997</v>
      </c>
      <c r="F4292" s="2">
        <v>0.95890010000000003</v>
      </c>
    </row>
    <row r="4293" spans="1:6" x14ac:dyDescent="0.25">
      <c r="A4293" t="s">
        <v>7</v>
      </c>
      <c r="B4293" s="5" t="str">
        <f>HYPERLINK("http://www.broadinstitute.org/gsea/msigdb/cards/GOCC_SAGA_TYPE_COMPLEX.html","GOCC_SAGA_TYPE_COMPLEX")</f>
        <v>GOCC_SAGA_TYPE_COMPLEX</v>
      </c>
      <c r="C4293" s="4">
        <v>37</v>
      </c>
      <c r="D4293" s="3">
        <v>0.72401612999999998</v>
      </c>
      <c r="E4293" s="1">
        <v>0.89448050000000001</v>
      </c>
      <c r="F4293" s="2">
        <v>0.95950729999999995</v>
      </c>
    </row>
    <row r="4294" spans="1:6" x14ac:dyDescent="0.25">
      <c r="A4294" t="s">
        <v>6</v>
      </c>
      <c r="B4294" s="5" t="str">
        <f>HYPERLINK("http://www.broadinstitute.org/gsea/msigdb/cards/GOBP_REGULATION_OF_SEQUESTERING_OF_TRIGLYCERIDE.html","GOBP_REGULATION_OF_SEQUESTERING_OF_TRIGLYCERIDE")</f>
        <v>GOBP_REGULATION_OF_SEQUESTERING_OF_TRIGLYCERIDE</v>
      </c>
      <c r="C4294" s="4">
        <v>15</v>
      </c>
      <c r="D4294" s="3">
        <v>0.72390089999999996</v>
      </c>
      <c r="E4294" s="1">
        <v>0.82952550000000003</v>
      </c>
      <c r="F4294" s="2">
        <v>0.95938104000000002</v>
      </c>
    </row>
    <row r="4295" spans="1:6" x14ac:dyDescent="0.25">
      <c r="A4295" t="s">
        <v>6</v>
      </c>
      <c r="B4295" s="5" t="str">
        <f>HYPERLINK("http://www.broadinstitute.org/gsea/msigdb/cards/GOBP_REGULATION_OF_DENDRITE_MORPHOGENESIS.html","GOBP_REGULATION_OF_DENDRITE_MORPHOGENESIS")</f>
        <v>GOBP_REGULATION_OF_DENDRITE_MORPHOGENESIS</v>
      </c>
      <c r="C4295" s="4">
        <v>96</v>
      </c>
      <c r="D4295" s="3">
        <v>0.72029823000000004</v>
      </c>
      <c r="E4295" s="1">
        <v>0.95599394999999998</v>
      </c>
      <c r="F4295" s="2">
        <v>0.96242963999999998</v>
      </c>
    </row>
    <row r="4296" spans="1:6" x14ac:dyDescent="0.25">
      <c r="A4296" t="s">
        <v>10</v>
      </c>
      <c r="B4296" s="5" t="str">
        <f>HYPERLINK("http://www.broadinstitute.org/gsea/msigdb/cards/REACTOME_NEUROTRANSMITTER_RELEASE_CYCLE.html","REACTOME_NEUROTRANSMITTER_RELEASE_CYCLE")</f>
        <v>REACTOME_NEUROTRANSMITTER_RELEASE_CYCLE</v>
      </c>
      <c r="C4296" s="4">
        <v>51</v>
      </c>
      <c r="D4296" s="3">
        <v>0.72015196000000004</v>
      </c>
      <c r="E4296" s="1">
        <v>0.92635023999999999</v>
      </c>
      <c r="F4296" s="2">
        <v>0.96234529999999996</v>
      </c>
    </row>
    <row r="4297" spans="1:6" x14ac:dyDescent="0.25">
      <c r="A4297" t="s">
        <v>8</v>
      </c>
      <c r="B4297" s="5" t="str">
        <f>HYPERLINK("http://www.broadinstitute.org/gsea/msigdb/cards/GOMF_NEUTRAL_L_AMINO_ACID_TRANSMEMBRANE_TRANSPORTER_ACTIVITY.html","GOMF_NEUTRAL_L_AMINO_ACID_TRANSMEMBRANE_TRANSPORTER_ACTIVITY")</f>
        <v>GOMF_NEUTRAL_L_AMINO_ACID_TRANSMEMBRANE_TRANSPORTER_ACTIVITY</v>
      </c>
      <c r="C4297" s="4">
        <v>44</v>
      </c>
      <c r="D4297" s="3">
        <v>0.71844505999999997</v>
      </c>
      <c r="E4297" s="1">
        <v>0.88888889999999998</v>
      </c>
      <c r="F4297" s="2">
        <v>0.96364090000000002</v>
      </c>
    </row>
    <row r="4298" spans="1:6" x14ac:dyDescent="0.25">
      <c r="A4298" t="s">
        <v>6</v>
      </c>
      <c r="B4298" s="5" t="str">
        <f>HYPERLINK("http://www.broadinstitute.org/gsea/msigdb/cards/GOBP_OLEFINIC_COMPOUND_METABOLIC_PROCESS.html","GOBP_OLEFINIC_COMPOUND_METABOLIC_PROCESS")</f>
        <v>GOBP_OLEFINIC_COMPOUND_METABOLIC_PROCESS</v>
      </c>
      <c r="C4298" s="4">
        <v>146</v>
      </c>
      <c r="D4298" s="3">
        <v>0.71837050000000002</v>
      </c>
      <c r="E4298" s="1">
        <v>0.98648650000000004</v>
      </c>
      <c r="F4298" s="2">
        <v>0.96348210000000001</v>
      </c>
    </row>
    <row r="4299" spans="1:6" x14ac:dyDescent="0.25">
      <c r="A4299" t="s">
        <v>10</v>
      </c>
      <c r="B4299" s="5" t="str">
        <f>HYPERLINK("http://www.broadinstitute.org/gsea/msigdb/cards/REACTOME_INHIBITION_OF_THE_PROTEOLYTIC_ACTIVITY_OF_APC_C_REQUIRED_FOR_THE_ONSET_OF_ANAPHASE_BY_MITOTIC_SPINDLE_CHECKPOINT_COMPONENTS.html","REACTOME_INHIBITION_OF_THE_PROTEOLYTIC_ACTIVITY_OF_APC_C_REQUIRED_FOR_THE_ONSET_OF_ANAPHASE_BY_MITOTIC_SPINDLE_CHECKPOINT_COMPONENTS")</f>
        <v>REACTOME_INHIBITION_OF_THE_PROTEOLYTIC_ACTIVITY_OF_APC_C_REQUIRED_FOR_THE_ONSET_OF_ANAPHASE_BY_MITOTIC_SPINDLE_CHECKPOINT_COMPONENTS</v>
      </c>
      <c r="C4299" s="4">
        <v>21</v>
      </c>
      <c r="D4299" s="3">
        <v>0.71792940000000005</v>
      </c>
      <c r="E4299" s="1">
        <v>0.86092716000000002</v>
      </c>
      <c r="F4299" s="2">
        <v>0.96364590000000006</v>
      </c>
    </row>
    <row r="4300" spans="1:6" x14ac:dyDescent="0.25">
      <c r="A4300" t="s">
        <v>6</v>
      </c>
      <c r="B4300" s="5" t="str">
        <f>HYPERLINK("http://www.broadinstitute.org/gsea/msigdb/cards/GOBP_PROTEIN_DEACETYLATION.html","GOBP_PROTEIN_DEACETYLATION")</f>
        <v>GOBP_PROTEIN_DEACETYLATION</v>
      </c>
      <c r="C4300" s="4">
        <v>64</v>
      </c>
      <c r="D4300" s="3">
        <v>0.71789824999999996</v>
      </c>
      <c r="E4300" s="1">
        <v>0.95807450000000005</v>
      </c>
      <c r="F4300" s="2">
        <v>0.9634471</v>
      </c>
    </row>
    <row r="4301" spans="1:6" x14ac:dyDescent="0.25">
      <c r="A4301" t="s">
        <v>6</v>
      </c>
      <c r="B4301" s="5" t="str">
        <f>HYPERLINK("http://www.broadinstitute.org/gsea/msigdb/cards/GOBP_PENTOSE_METABOLIC_PROCESS.html","GOBP_PENTOSE_METABOLIC_PROCESS")</f>
        <v>GOBP_PENTOSE_METABOLIC_PROCESS</v>
      </c>
      <c r="C4301" s="4">
        <v>15</v>
      </c>
      <c r="D4301" s="3">
        <v>0.71658639999999996</v>
      </c>
      <c r="E4301" s="1">
        <v>0.86933800000000006</v>
      </c>
      <c r="F4301" s="2">
        <v>0.96435930000000003</v>
      </c>
    </row>
    <row r="4302" spans="1:6" x14ac:dyDescent="0.25">
      <c r="A4302" t="s">
        <v>7</v>
      </c>
      <c r="B4302" s="5" t="str">
        <f>HYPERLINK("http://www.broadinstitute.org/gsea/msigdb/cards/GOCC_GLYCOPROTEIN_COMPLEX.html","GOCC_GLYCOPROTEIN_COMPLEX")</f>
        <v>GOCC_GLYCOPROTEIN_COMPLEX</v>
      </c>
      <c r="C4302" s="4">
        <v>24</v>
      </c>
      <c r="D4302" s="3">
        <v>0.716337</v>
      </c>
      <c r="E4302" s="1">
        <v>0.86948853999999998</v>
      </c>
      <c r="F4302" s="2">
        <v>0.96434940000000002</v>
      </c>
    </row>
    <row r="4303" spans="1:6" x14ac:dyDescent="0.25">
      <c r="A4303" t="s">
        <v>8</v>
      </c>
      <c r="B4303" s="5" t="str">
        <f>HYPERLINK("http://www.broadinstitute.org/gsea/msigdb/cards/GOMF_FATTY_ACID_BINDING.html","GOMF_FATTY_ACID_BINDING")</f>
        <v>GOMF_FATTY_ACID_BINDING</v>
      </c>
      <c r="C4303" s="4">
        <v>56</v>
      </c>
      <c r="D4303" s="3">
        <v>0.71566755000000004</v>
      </c>
      <c r="E4303" s="1">
        <v>0.92845255000000004</v>
      </c>
      <c r="F4303" s="2">
        <v>0.96471419999999997</v>
      </c>
    </row>
    <row r="4304" spans="1:6" x14ac:dyDescent="0.25">
      <c r="A4304" t="s">
        <v>6</v>
      </c>
      <c r="B4304" s="5" t="str">
        <f>HYPERLINK("http://www.broadinstitute.org/gsea/msigdb/cards/GOBP_MATURATION_OF_LSU_RRNA.html","GOBP_MATURATION_OF_LSU_RRNA")</f>
        <v>GOBP_MATURATION_OF_LSU_RRNA</v>
      </c>
      <c r="C4304" s="4">
        <v>28</v>
      </c>
      <c r="D4304" s="3">
        <v>0.71520640000000002</v>
      </c>
      <c r="E4304" s="1">
        <v>0.88285230000000003</v>
      </c>
      <c r="F4304" s="2">
        <v>0.96490520000000002</v>
      </c>
    </row>
    <row r="4305" spans="1:6" x14ac:dyDescent="0.25">
      <c r="A4305" t="s">
        <v>10</v>
      </c>
      <c r="B4305" s="5" t="str">
        <f>HYPERLINK("http://www.broadinstitute.org/gsea/msigdb/cards/REACTOME_ACYL_CHAIN_REMODELLING_OF_PG.html","REACTOME_ACYL_CHAIN_REMODELLING_OF_PG")</f>
        <v>REACTOME_ACYL_CHAIN_REMODELLING_OF_PG</v>
      </c>
      <c r="C4305" s="4">
        <v>16</v>
      </c>
      <c r="D4305" s="3">
        <v>0.71514960000000005</v>
      </c>
      <c r="E4305" s="1">
        <v>0.85171790000000003</v>
      </c>
      <c r="F4305" s="2">
        <v>0.96472630000000004</v>
      </c>
    </row>
    <row r="4306" spans="1:6" x14ac:dyDescent="0.25">
      <c r="A4306" t="s">
        <v>10</v>
      </c>
      <c r="B4306" s="5" t="str">
        <f>HYPERLINK("http://www.broadinstitute.org/gsea/msigdb/cards/REACTOME_GAP_JUNCTION_ASSEMBLY.html","REACTOME_GAP_JUNCTION_ASSEMBLY")</f>
        <v>REACTOME_GAP_JUNCTION_ASSEMBLY</v>
      </c>
      <c r="C4306" s="4">
        <v>32</v>
      </c>
      <c r="D4306" s="3">
        <v>0.7142946</v>
      </c>
      <c r="E4306" s="1">
        <v>0.91582490000000005</v>
      </c>
      <c r="F4306" s="2">
        <v>0.96525943000000003</v>
      </c>
    </row>
    <row r="4307" spans="1:6" x14ac:dyDescent="0.25">
      <c r="A4307" t="s">
        <v>6</v>
      </c>
      <c r="B4307" s="5" t="str">
        <f>HYPERLINK("http://www.broadinstitute.org/gsea/msigdb/cards/GOBP_CARDIAC_MUSCLE_CELL_MEMBRANE_REPOLARIZATION.html","GOBP_CARDIAC_MUSCLE_CELL_MEMBRANE_REPOLARIZATION")</f>
        <v>GOBP_CARDIAC_MUSCLE_CELL_MEMBRANE_REPOLARIZATION</v>
      </c>
      <c r="C4307" s="4">
        <v>30</v>
      </c>
      <c r="D4307" s="3">
        <v>0.71416246999999999</v>
      </c>
      <c r="E4307" s="1">
        <v>0.91032150000000001</v>
      </c>
      <c r="F4307" s="2">
        <v>0.96514750000000005</v>
      </c>
    </row>
    <row r="4308" spans="1:6" x14ac:dyDescent="0.25">
      <c r="A4308" t="s">
        <v>6</v>
      </c>
      <c r="B4308" s="5" t="str">
        <f>HYPERLINK("http://www.broadinstitute.org/gsea/msigdb/cards/GOBP_INNATE_IMMUNE_RESPONSE_IN_MUCOSA.html","GOBP_INNATE_IMMUNE_RESPONSE_IN_MUCOSA")</f>
        <v>GOBP_INNATE_IMMUNE_RESPONSE_IN_MUCOSA</v>
      </c>
      <c r="C4308" s="4">
        <v>16</v>
      </c>
      <c r="D4308" s="3">
        <v>0.7137251</v>
      </c>
      <c r="E4308" s="1">
        <v>0.86106349999999998</v>
      </c>
      <c r="F4308" s="2">
        <v>0.96530930000000004</v>
      </c>
    </row>
    <row r="4309" spans="1:6" x14ac:dyDescent="0.25">
      <c r="A4309" t="s">
        <v>6</v>
      </c>
      <c r="B4309" s="5" t="str">
        <f>HYPERLINK("http://www.broadinstitute.org/gsea/msigdb/cards/GOBP_NEGATIVE_REGULATION_OF_FATTY_ACID_OXIDATION.html","GOBP_NEGATIVE_REGULATION_OF_FATTY_ACID_OXIDATION")</f>
        <v>GOBP_NEGATIVE_REGULATION_OF_FATTY_ACID_OXIDATION</v>
      </c>
      <c r="C4309" s="4">
        <v>16</v>
      </c>
      <c r="D4309" s="3">
        <v>0.71330064999999998</v>
      </c>
      <c r="E4309" s="1">
        <v>0.86348119999999995</v>
      </c>
      <c r="F4309" s="2">
        <v>0.96544373000000006</v>
      </c>
    </row>
    <row r="4310" spans="1:6" x14ac:dyDescent="0.25">
      <c r="A4310" t="s">
        <v>10</v>
      </c>
      <c r="B4310" s="5" t="str">
        <f>HYPERLINK("http://www.broadinstitute.org/gsea/msigdb/cards/REACTOME_TRANSPORT_OF_THE_SLBP_DEPENDANT_MATURE_MRNA.html","REACTOME_TRANSPORT_OF_THE_SLBP_DEPENDANT_MATURE_MRNA")</f>
        <v>REACTOME_TRANSPORT_OF_THE_SLBP_DEPENDANT_MATURE_MRNA</v>
      </c>
      <c r="C4310" s="4">
        <v>35</v>
      </c>
      <c r="D4310" s="3">
        <v>0.71264280000000002</v>
      </c>
      <c r="E4310" s="1">
        <v>0.90893763000000005</v>
      </c>
      <c r="F4310" s="2">
        <v>0.9657751</v>
      </c>
    </row>
    <row r="4311" spans="1:6" x14ac:dyDescent="0.25">
      <c r="A4311" t="s">
        <v>6</v>
      </c>
      <c r="B4311" s="5" t="str">
        <f>HYPERLINK("http://www.broadinstitute.org/gsea/msigdb/cards/GOBP_RESPONSE_TO_MISFOLDED_PROTEIN.html","GOBP_RESPONSE_TO_MISFOLDED_PROTEIN")</f>
        <v>GOBP_RESPONSE_TO_MISFOLDED_PROTEIN</v>
      </c>
      <c r="C4311" s="4">
        <v>25</v>
      </c>
      <c r="D4311" s="3">
        <v>0.71195275000000002</v>
      </c>
      <c r="E4311" s="1">
        <v>0.88739495999999995</v>
      </c>
      <c r="F4311" s="2">
        <v>0.96612379999999998</v>
      </c>
    </row>
    <row r="4312" spans="1:6" x14ac:dyDescent="0.25">
      <c r="A4312" t="s">
        <v>6</v>
      </c>
      <c r="B4312" s="5" t="str">
        <f>HYPERLINK("http://www.broadinstitute.org/gsea/msigdb/cards/GOBP_DIOL_BIOSYNTHETIC_PROCESS.html","GOBP_DIOL_BIOSYNTHETIC_PROCESS")</f>
        <v>GOBP_DIOL_BIOSYNTHETIC_PROCESS</v>
      </c>
      <c r="C4312" s="4">
        <v>22</v>
      </c>
      <c r="D4312" s="3">
        <v>0.7111596</v>
      </c>
      <c r="E4312" s="1">
        <v>0.89335659999999995</v>
      </c>
      <c r="F4312" s="2">
        <v>0.96655374999999999</v>
      </c>
    </row>
    <row r="4313" spans="1:6" x14ac:dyDescent="0.25">
      <c r="A4313" t="s">
        <v>8</v>
      </c>
      <c r="B4313" s="5" t="str">
        <f>HYPERLINK("http://www.broadinstitute.org/gsea/msigdb/cards/GOMF_NUCLEAR_RETINOIC_ACID_RECEPTOR_BINDING.html","GOMF_NUCLEAR_RETINOIC_ACID_RECEPTOR_BINDING")</f>
        <v>GOMF_NUCLEAR_RETINOIC_ACID_RECEPTOR_BINDING</v>
      </c>
      <c r="C4313" s="4">
        <v>34</v>
      </c>
      <c r="D4313" s="3">
        <v>0.71096800000000004</v>
      </c>
      <c r="E4313" s="1">
        <v>0.91423670000000001</v>
      </c>
      <c r="F4313" s="2">
        <v>0.96648866</v>
      </c>
    </row>
    <row r="4314" spans="1:6" x14ac:dyDescent="0.25">
      <c r="A4314" t="s">
        <v>6</v>
      </c>
      <c r="B4314" s="5" t="str">
        <f>HYPERLINK("http://www.broadinstitute.org/gsea/msigdb/cards/GOBP_GLYCOLYTIC_PROCESS_THROUGH_FRUCTOSE_6_PHOSPHATE.html","GOBP_GLYCOLYTIC_PROCESS_THROUGH_FRUCTOSE_6_PHOSPHATE")</f>
        <v>GOBP_GLYCOLYTIC_PROCESS_THROUGH_FRUCTOSE_6_PHOSPHATE</v>
      </c>
      <c r="C4314" s="4">
        <v>26</v>
      </c>
      <c r="D4314" s="3">
        <v>0.71082807000000003</v>
      </c>
      <c r="E4314" s="1">
        <v>0.86837880000000001</v>
      </c>
      <c r="F4314" s="2">
        <v>0.96637930000000005</v>
      </c>
    </row>
    <row r="4315" spans="1:6" x14ac:dyDescent="0.25">
      <c r="A4315" t="s">
        <v>6</v>
      </c>
      <c r="B4315" s="5" t="str">
        <f>HYPERLINK("http://www.broadinstitute.org/gsea/msigdb/cards/GOBP_MOTOR_BEHAVIOR.html","GOBP_MOTOR_BEHAVIOR")</f>
        <v>GOBP_MOTOR_BEHAVIOR</v>
      </c>
      <c r="C4315" s="4">
        <v>28</v>
      </c>
      <c r="D4315" s="3">
        <v>0.71043619999999996</v>
      </c>
      <c r="E4315" s="1">
        <v>0.91162030000000005</v>
      </c>
      <c r="F4315" s="2">
        <v>0.96647609999999995</v>
      </c>
    </row>
    <row r="4316" spans="1:6" x14ac:dyDescent="0.25">
      <c r="A4316" t="s">
        <v>8</v>
      </c>
      <c r="B4316" s="5" t="str">
        <f>HYPERLINK("http://www.broadinstitute.org/gsea/msigdb/cards/GOMF_ANKYRIN_BINDING.html","GOMF_ANKYRIN_BINDING")</f>
        <v>GOMF_ANKYRIN_BINDING</v>
      </c>
      <c r="C4316" s="4">
        <v>22</v>
      </c>
      <c r="D4316" s="3">
        <v>0.70975392999999998</v>
      </c>
      <c r="E4316" s="1">
        <v>0.87296414</v>
      </c>
      <c r="F4316" s="2">
        <v>0.96681802999999999</v>
      </c>
    </row>
    <row r="4317" spans="1:6" x14ac:dyDescent="0.25">
      <c r="A4317" t="s">
        <v>8</v>
      </c>
      <c r="B4317" s="5" t="str">
        <f>HYPERLINK("http://www.broadinstitute.org/gsea/msigdb/cards/GOMF_RNA_POLYMERASE_II_CTD_HEPTAPEPTIDE_REPEAT_MODIFYING_ACTIVITY.html","GOMF_RNA_POLYMERASE_II_CTD_HEPTAPEPTIDE_REPEAT_MODIFYING_ACTIVITY")</f>
        <v>GOMF_RNA_POLYMERASE_II_CTD_HEPTAPEPTIDE_REPEAT_MODIFYING_ACTIVITY</v>
      </c>
      <c r="C4317" s="4">
        <v>17</v>
      </c>
      <c r="D4317" s="3">
        <v>0.70856640000000004</v>
      </c>
      <c r="E4317" s="1">
        <v>0.86559140000000001</v>
      </c>
      <c r="F4317" s="2">
        <v>0.96755389999999997</v>
      </c>
    </row>
    <row r="4318" spans="1:6" x14ac:dyDescent="0.25">
      <c r="A4318" t="s">
        <v>6</v>
      </c>
      <c r="B4318" s="5" t="str">
        <f>HYPERLINK("http://www.broadinstitute.org/gsea/msigdb/cards/GOBP_PYRIMIDINE_NUCLEOTIDE_CATABOLIC_PROCESS.html","GOBP_PYRIMIDINE_NUCLEOTIDE_CATABOLIC_PROCESS")</f>
        <v>GOBP_PYRIMIDINE_NUCLEOTIDE_CATABOLIC_PROCESS</v>
      </c>
      <c r="C4318" s="4">
        <v>15</v>
      </c>
      <c r="D4318" s="3">
        <v>0.70753069999999996</v>
      </c>
      <c r="E4318" s="1">
        <v>0.84982939999999996</v>
      </c>
      <c r="F4318" s="2">
        <v>0.96815989999999996</v>
      </c>
    </row>
    <row r="4319" spans="1:6" x14ac:dyDescent="0.25">
      <c r="A4319" t="s">
        <v>10</v>
      </c>
      <c r="B4319" s="5" t="str">
        <f>HYPERLINK("http://www.broadinstitute.org/gsea/msigdb/cards/REACTOME_RAP1_SIGNALLING.html","REACTOME_RAP1_SIGNALLING")</f>
        <v>REACTOME_RAP1_SIGNALLING</v>
      </c>
      <c r="C4319" s="4">
        <v>15</v>
      </c>
      <c r="D4319" s="3">
        <v>0.70667106000000002</v>
      </c>
      <c r="E4319" s="1">
        <v>0.84313726</v>
      </c>
      <c r="F4319" s="2">
        <v>0.96863747</v>
      </c>
    </row>
    <row r="4320" spans="1:6" x14ac:dyDescent="0.25">
      <c r="A4320" t="s">
        <v>6</v>
      </c>
      <c r="B4320" s="5" t="str">
        <f>HYPERLINK("http://www.broadinstitute.org/gsea/msigdb/cards/GOBP_SIGNAL_TRANSDUCTION_IN_RESPONSE_TO_DNA_DAMAGE.html","GOBP_SIGNAL_TRANSDUCTION_IN_RESPONSE_TO_DNA_DAMAGE")</f>
        <v>GOBP_SIGNAL_TRANSDUCTION_IN_RESPONSE_TO_DNA_DAMAGE</v>
      </c>
      <c r="C4320" s="4">
        <v>178</v>
      </c>
      <c r="D4320" s="3">
        <v>0.70652384000000001</v>
      </c>
      <c r="E4320" s="1">
        <v>0.99297749999999996</v>
      </c>
      <c r="F4320" s="2">
        <v>0.96852945999999995</v>
      </c>
    </row>
    <row r="4321" spans="1:6" x14ac:dyDescent="0.25">
      <c r="A4321" t="s">
        <v>10</v>
      </c>
      <c r="B4321" s="5" t="str">
        <f>HYPERLINK("http://www.broadinstitute.org/gsea/msigdb/cards/REACTOME_SUMOYLATION_OF_DNA_REPLICATION_PROTEINS.html","REACTOME_SUMOYLATION_OF_DNA_REPLICATION_PROTEINS")</f>
        <v>REACTOME_SUMOYLATION_OF_DNA_REPLICATION_PROTEINS</v>
      </c>
      <c r="C4321" s="4">
        <v>42</v>
      </c>
      <c r="D4321" s="3">
        <v>0.70568180000000003</v>
      </c>
      <c r="E4321" s="1">
        <v>0.93686009999999997</v>
      </c>
      <c r="F4321" s="2">
        <v>0.96897303999999995</v>
      </c>
    </row>
    <row r="4322" spans="1:6" x14ac:dyDescent="0.25">
      <c r="A4322" t="s">
        <v>10</v>
      </c>
      <c r="B4322" s="5" t="str">
        <f>HYPERLINK("http://www.broadinstitute.org/gsea/msigdb/cards/REACTOME_TERMINATION_OF_TRANSLESION_DNA_SYNTHESIS.html","REACTOME_TERMINATION_OF_TRANSLESION_DNA_SYNTHESIS")</f>
        <v>REACTOME_TERMINATION_OF_TRANSLESION_DNA_SYNTHESIS</v>
      </c>
      <c r="C4322" s="4">
        <v>31</v>
      </c>
      <c r="D4322" s="3">
        <v>0.70495410000000003</v>
      </c>
      <c r="E4322" s="1">
        <v>0.91107380000000004</v>
      </c>
      <c r="F4322" s="2">
        <v>0.96932810000000003</v>
      </c>
    </row>
    <row r="4323" spans="1:6" x14ac:dyDescent="0.25">
      <c r="A4323" t="s">
        <v>10</v>
      </c>
      <c r="B4323" s="5" t="str">
        <f>HYPERLINK("http://www.broadinstitute.org/gsea/msigdb/cards/REACTOME_SENESCENCE_ASSOCIATED_SECRETORY_PHENOTYPE_SASP.html","REACTOME_SENESCENCE_ASSOCIATED_SECRETORY_PHENOTYPE_SASP")</f>
        <v>REACTOME_SENESCENCE_ASSOCIATED_SECRETORY_PHENOTYPE_SASP</v>
      </c>
      <c r="C4323" s="4">
        <v>39</v>
      </c>
      <c r="D4323" s="3">
        <v>0.70465849999999997</v>
      </c>
      <c r="E4323" s="1">
        <v>0.91912910000000003</v>
      </c>
      <c r="F4323" s="2">
        <v>0.96933097000000001</v>
      </c>
    </row>
    <row r="4324" spans="1:6" x14ac:dyDescent="0.25">
      <c r="A4324" t="s">
        <v>6</v>
      </c>
      <c r="B4324" s="5" t="str">
        <f>HYPERLINK("http://www.broadinstitute.org/gsea/msigdb/cards/GOBP_DETECTION_OF_MECHANICAL_STIMULUS_INVOLVED_IN_SENSORY_PERCEPTION_OF_SOUND.html","GOBP_DETECTION_OF_MECHANICAL_STIMULUS_INVOLVED_IN_SENSORY_PERCEPTION_OF_SOUND")</f>
        <v>GOBP_DETECTION_OF_MECHANICAL_STIMULUS_INVOLVED_IN_SENSORY_PERCEPTION_OF_SOUND</v>
      </c>
      <c r="C4324" s="4">
        <v>22</v>
      </c>
      <c r="D4324" s="3">
        <v>0.70456839999999998</v>
      </c>
      <c r="E4324" s="1">
        <v>0.88701516000000002</v>
      </c>
      <c r="F4324" s="2">
        <v>0.969171</v>
      </c>
    </row>
    <row r="4325" spans="1:6" x14ac:dyDescent="0.25">
      <c r="A4325" t="s">
        <v>6</v>
      </c>
      <c r="B4325" s="5" t="str">
        <f>HYPERLINK("http://www.broadinstitute.org/gsea/msigdb/cards/GOBP_HEXOSE_CATABOLIC_PROCESS.html","GOBP_HEXOSE_CATABOLIC_PROCESS")</f>
        <v>GOBP_HEXOSE_CATABOLIC_PROCESS</v>
      </c>
      <c r="C4325" s="4">
        <v>38</v>
      </c>
      <c r="D4325" s="3">
        <v>0.70452970000000004</v>
      </c>
      <c r="E4325" s="1">
        <v>0.92715234000000002</v>
      </c>
      <c r="F4325" s="2">
        <v>0.96897350000000004</v>
      </c>
    </row>
    <row r="4326" spans="1:6" x14ac:dyDescent="0.25">
      <c r="A4326" t="s">
        <v>8</v>
      </c>
      <c r="B4326" s="5" t="str">
        <f>HYPERLINK("http://www.broadinstitute.org/gsea/msigdb/cards/GOMF_AMINOPEPTIDASE_ACTIVITY.html","GOMF_AMINOPEPTIDASE_ACTIVITY")</f>
        <v>GOMF_AMINOPEPTIDASE_ACTIVITY</v>
      </c>
      <c r="C4326" s="4">
        <v>36</v>
      </c>
      <c r="D4326" s="3">
        <v>0.70320004000000003</v>
      </c>
      <c r="E4326" s="1">
        <v>0.90940169999999998</v>
      </c>
      <c r="F4326" s="2">
        <v>0.96978587000000005</v>
      </c>
    </row>
    <row r="4327" spans="1:6" x14ac:dyDescent="0.25">
      <c r="A4327" t="s">
        <v>6</v>
      </c>
      <c r="B4327" s="5" t="str">
        <f>HYPERLINK("http://www.broadinstitute.org/gsea/msigdb/cards/GOBP_PROTEIN_CONTAINING_COMPLEX_REMODELING.html","GOBP_PROTEIN_CONTAINING_COMPLEX_REMODELING")</f>
        <v>GOBP_PROTEIN_CONTAINING_COMPLEX_REMODELING</v>
      </c>
      <c r="C4327" s="4">
        <v>29</v>
      </c>
      <c r="D4327" s="3">
        <v>0.70288724000000002</v>
      </c>
      <c r="E4327" s="1">
        <v>0.9</v>
      </c>
      <c r="F4327" s="2">
        <v>0.96981037000000003</v>
      </c>
    </row>
    <row r="4328" spans="1:6" x14ac:dyDescent="0.25">
      <c r="A4328" t="s">
        <v>8</v>
      </c>
      <c r="B4328" s="5" t="str">
        <f>HYPERLINK("http://www.broadinstitute.org/gsea/msigdb/cards/GOMF_PROLINE_RICH_REGION_BINDING.html","GOMF_PROLINE_RICH_REGION_BINDING")</f>
        <v>GOMF_PROLINE_RICH_REGION_BINDING</v>
      </c>
      <c r="C4328" s="4">
        <v>20</v>
      </c>
      <c r="D4328" s="3">
        <v>0.70218080000000005</v>
      </c>
      <c r="E4328" s="1">
        <v>0.89298250000000001</v>
      </c>
      <c r="F4328" s="2">
        <v>0.97012949999999998</v>
      </c>
    </row>
    <row r="4329" spans="1:6" x14ac:dyDescent="0.25">
      <c r="A4329" t="s">
        <v>6</v>
      </c>
      <c r="B4329" s="5" t="str">
        <f>HYPERLINK("http://www.broadinstitute.org/gsea/msigdb/cards/GOBP_REGULATION_OF_CARDIAC_MUSCLE_CELL_MEMBRANE_REPOLARIZATION.html","GOBP_REGULATION_OF_CARDIAC_MUSCLE_CELL_MEMBRANE_REPOLARIZATION")</f>
        <v>GOBP_REGULATION_OF_CARDIAC_MUSCLE_CELL_MEMBRANE_REPOLARIZATION</v>
      </c>
      <c r="C4329" s="4">
        <v>25</v>
      </c>
      <c r="D4329" s="3">
        <v>0.70127565000000003</v>
      </c>
      <c r="E4329" s="1">
        <v>0.87433629999999996</v>
      </c>
      <c r="F4329" s="2">
        <v>0.97058770000000005</v>
      </c>
    </row>
    <row r="4330" spans="1:6" x14ac:dyDescent="0.25">
      <c r="A4330" t="s">
        <v>6</v>
      </c>
      <c r="B4330" s="5" t="str">
        <f>HYPERLINK("http://www.broadinstitute.org/gsea/msigdb/cards/GOBP_HEART_VALVE_FORMATION.html","GOBP_HEART_VALVE_FORMATION")</f>
        <v>GOBP_HEART_VALVE_FORMATION</v>
      </c>
      <c r="C4330" s="4">
        <v>15</v>
      </c>
      <c r="D4330" s="3">
        <v>0.70117169999999995</v>
      </c>
      <c r="E4330" s="1">
        <v>0.8679578</v>
      </c>
      <c r="F4330" s="2">
        <v>0.97044003000000001</v>
      </c>
    </row>
    <row r="4331" spans="1:6" x14ac:dyDescent="0.25">
      <c r="A4331" t="s">
        <v>6</v>
      </c>
      <c r="B4331" s="5" t="str">
        <f>HYPERLINK("http://www.broadinstitute.org/gsea/msigdb/cards/GOBP_NEGATIVE_REGULATION_OF_SMOOTH_MUSCLE_CELL_APOPTOTIC_PROCESS.html","GOBP_NEGATIVE_REGULATION_OF_SMOOTH_MUSCLE_CELL_APOPTOTIC_PROCESS")</f>
        <v>GOBP_NEGATIVE_REGULATION_OF_SMOOTH_MUSCLE_CELL_APOPTOTIC_PROCESS</v>
      </c>
      <c r="C4331" s="4">
        <v>15</v>
      </c>
      <c r="D4331" s="3">
        <v>0.7009455</v>
      </c>
      <c r="E4331" s="1">
        <v>0.87477636000000003</v>
      </c>
      <c r="F4331" s="2">
        <v>0.9703929</v>
      </c>
    </row>
    <row r="4332" spans="1:6" x14ac:dyDescent="0.25">
      <c r="A4332" t="s">
        <v>6</v>
      </c>
      <c r="B4332" s="5" t="str">
        <f>HYPERLINK("http://www.broadinstitute.org/gsea/msigdb/cards/GOBP_ANATOMICAL_STRUCTURE_ARRANGEMENT.html","GOBP_ANATOMICAL_STRUCTURE_ARRANGEMENT")</f>
        <v>GOBP_ANATOMICAL_STRUCTURE_ARRANGEMENT</v>
      </c>
      <c r="C4332" s="4">
        <v>21</v>
      </c>
      <c r="D4332" s="3">
        <v>0.70073070000000004</v>
      </c>
      <c r="E4332" s="1">
        <v>0.88254489999999997</v>
      </c>
      <c r="F4332" s="2">
        <v>0.97033380000000002</v>
      </c>
    </row>
    <row r="4333" spans="1:6" x14ac:dyDescent="0.25">
      <c r="A4333" t="s">
        <v>8</v>
      </c>
      <c r="B4333" s="5" t="str">
        <f>HYPERLINK("http://www.broadinstitute.org/gsea/msigdb/cards/GOMF_PDZ_DOMAIN_BINDING.html","GOMF_PDZ_DOMAIN_BINDING")</f>
        <v>GOMF_PDZ_DOMAIN_BINDING</v>
      </c>
      <c r="C4333" s="4">
        <v>122</v>
      </c>
      <c r="D4333" s="3">
        <v>0.70040639999999998</v>
      </c>
      <c r="E4333" s="1">
        <v>0.97913563000000003</v>
      </c>
      <c r="F4333" s="2">
        <v>0.97035223000000004</v>
      </c>
    </row>
    <row r="4334" spans="1:6" x14ac:dyDescent="0.25">
      <c r="A4334" t="s">
        <v>10</v>
      </c>
      <c r="B4334" s="5" t="str">
        <f>HYPERLINK("http://www.broadinstitute.org/gsea/msigdb/cards/REACTOME_PI_3K_CASCADE_FGFR3.html","REACTOME_PI_3K_CASCADE_FGFR3")</f>
        <v>REACTOME_PI_3K_CASCADE_FGFR3</v>
      </c>
      <c r="C4334" s="4">
        <v>18</v>
      </c>
      <c r="D4334" s="3">
        <v>0.70031476000000004</v>
      </c>
      <c r="E4334" s="1">
        <v>0.87390540000000005</v>
      </c>
      <c r="F4334" s="2">
        <v>0.97019582999999998</v>
      </c>
    </row>
    <row r="4335" spans="1:6" x14ac:dyDescent="0.25">
      <c r="A4335" t="s">
        <v>8</v>
      </c>
      <c r="B4335" s="5" t="str">
        <f>HYPERLINK("http://www.broadinstitute.org/gsea/msigdb/cards/GOMF_ACIDIC_AMINO_ACID_TRANSMEMBRANE_TRANSPORTER_ACTIVITY.html","GOMF_ACIDIC_AMINO_ACID_TRANSMEMBRANE_TRANSPORTER_ACTIVITY")</f>
        <v>GOMF_ACIDIC_AMINO_ACID_TRANSMEMBRANE_TRANSPORTER_ACTIVITY</v>
      </c>
      <c r="C4335" s="4">
        <v>20</v>
      </c>
      <c r="D4335" s="3">
        <v>0.70018910000000001</v>
      </c>
      <c r="E4335" s="1">
        <v>0.88987565000000002</v>
      </c>
      <c r="F4335" s="2">
        <v>0.97006409999999998</v>
      </c>
    </row>
    <row r="4336" spans="1:6" x14ac:dyDescent="0.25">
      <c r="A4336" t="s">
        <v>10</v>
      </c>
      <c r="B4336" s="5" t="str">
        <f>HYPERLINK("http://www.broadinstitute.org/gsea/msigdb/cards/REACTOME_IRS_MEDIATED_SIGNALLING.html","REACTOME_IRS_MEDIATED_SIGNALLING")</f>
        <v>REACTOME_IRS_MEDIATED_SIGNALLING</v>
      </c>
      <c r="C4336" s="4">
        <v>40</v>
      </c>
      <c r="D4336" s="3">
        <v>0.69993749999999999</v>
      </c>
      <c r="E4336" s="1">
        <v>0.91013074000000005</v>
      </c>
      <c r="F4336" s="2">
        <v>0.97004040000000002</v>
      </c>
    </row>
    <row r="4337" spans="1:6" x14ac:dyDescent="0.25">
      <c r="A4337" t="s">
        <v>6</v>
      </c>
      <c r="B4337" s="5" t="str">
        <f>HYPERLINK("http://www.broadinstitute.org/gsea/msigdb/cards/GOBP_WHITE_FAT_CELL_DIFFERENTIATION.html","GOBP_WHITE_FAT_CELL_DIFFERENTIATION")</f>
        <v>GOBP_WHITE_FAT_CELL_DIFFERENTIATION</v>
      </c>
      <c r="C4337" s="4">
        <v>23</v>
      </c>
      <c r="D4337" s="3">
        <v>0.6999012</v>
      </c>
      <c r="E4337" s="1">
        <v>0.90572390000000003</v>
      </c>
      <c r="F4337" s="2">
        <v>0.96983900000000001</v>
      </c>
    </row>
    <row r="4338" spans="1:6" x14ac:dyDescent="0.25">
      <c r="A4338" t="s">
        <v>6</v>
      </c>
      <c r="B4338" s="5" t="str">
        <f>HYPERLINK("http://www.broadinstitute.org/gsea/msigdb/cards/GOBP_PRESYNAPTIC_MODULATION_OF_CHEMICAL_SYNAPTIC_TRANSMISSION.html","GOBP_PRESYNAPTIC_MODULATION_OF_CHEMICAL_SYNAPTIC_TRANSMISSION")</f>
        <v>GOBP_PRESYNAPTIC_MODULATION_OF_CHEMICAL_SYNAPTIC_TRANSMISSION</v>
      </c>
      <c r="C4338" s="4">
        <v>58</v>
      </c>
      <c r="D4338" s="3">
        <v>0.69986813999999997</v>
      </c>
      <c r="E4338" s="1">
        <v>0.94173229999999997</v>
      </c>
      <c r="F4338" s="2">
        <v>0.96963345999999995</v>
      </c>
    </row>
    <row r="4339" spans="1:6" x14ac:dyDescent="0.25">
      <c r="A4339" t="s">
        <v>6</v>
      </c>
      <c r="B4339" s="5" t="str">
        <f>HYPERLINK("http://www.broadinstitute.org/gsea/msigdb/cards/GOBP_KERATINIZATION.html","GOBP_KERATINIZATION")</f>
        <v>GOBP_KERATINIZATION</v>
      </c>
      <c r="C4339" s="4">
        <v>57</v>
      </c>
      <c r="D4339" s="3">
        <v>0.69974077000000001</v>
      </c>
      <c r="E4339" s="1">
        <v>0.95292209999999999</v>
      </c>
      <c r="F4339" s="2">
        <v>0.96950453999999997</v>
      </c>
    </row>
    <row r="4340" spans="1:6" x14ac:dyDescent="0.25">
      <c r="A4340" t="s">
        <v>8</v>
      </c>
      <c r="B4340" s="5" t="str">
        <f>HYPERLINK("http://www.broadinstitute.org/gsea/msigdb/cards/GOMF_POTASSIUM_CHANNEL_REGULATOR_ACTIVITY.html","GOMF_POTASSIUM_CHANNEL_REGULATOR_ACTIVITY")</f>
        <v>GOMF_POTASSIUM_CHANNEL_REGULATOR_ACTIVITY</v>
      </c>
      <c r="C4340" s="4">
        <v>48</v>
      </c>
      <c r="D4340" s="3">
        <v>0.69865580000000005</v>
      </c>
      <c r="E4340" s="1">
        <v>0.93739969999999995</v>
      </c>
      <c r="F4340" s="2">
        <v>0.97009380000000001</v>
      </c>
    </row>
    <row r="4341" spans="1:6" x14ac:dyDescent="0.25">
      <c r="A4341" t="s">
        <v>10</v>
      </c>
      <c r="B4341" s="5" t="str">
        <f>HYPERLINK("http://www.broadinstitute.org/gsea/msigdb/cards/REACTOME_RECYCLING_PATHWAY_OF_L1.html","REACTOME_RECYCLING_PATHWAY_OF_L1")</f>
        <v>REACTOME_RECYCLING_PATHWAY_OF_L1</v>
      </c>
      <c r="C4341" s="4">
        <v>36</v>
      </c>
      <c r="D4341" s="3">
        <v>0.69794849999999997</v>
      </c>
      <c r="E4341" s="1">
        <v>0.91554049999999998</v>
      </c>
      <c r="F4341" s="2">
        <v>0.97039580000000003</v>
      </c>
    </row>
    <row r="4342" spans="1:6" x14ac:dyDescent="0.25">
      <c r="A4342" t="s">
        <v>7</v>
      </c>
      <c r="B4342" s="5" t="str">
        <f>HYPERLINK("http://www.broadinstitute.org/gsea/msigdb/cards/GOCC_ASYMMETRIC_GLUTAMATERGIC_EXCITATORY_SYNAPSE.html","GOCC_ASYMMETRIC_GLUTAMATERGIC_EXCITATORY_SYNAPSE")</f>
        <v>GOCC_ASYMMETRIC_GLUTAMATERGIC_EXCITATORY_SYNAPSE</v>
      </c>
      <c r="C4342" s="4">
        <v>18</v>
      </c>
      <c r="D4342" s="3">
        <v>0.69743980000000005</v>
      </c>
      <c r="E4342" s="1">
        <v>0.9</v>
      </c>
      <c r="F4342" s="2">
        <v>0.97052245999999998</v>
      </c>
    </row>
    <row r="4343" spans="1:6" x14ac:dyDescent="0.25">
      <c r="A4343" t="s">
        <v>6</v>
      </c>
      <c r="B4343" s="5" t="str">
        <f>HYPERLINK("http://www.broadinstitute.org/gsea/msigdb/cards/GOBP_G_PROTEIN_COUPLED_ACETYLCHOLINE_RECEPTOR_SIGNALING_PATHWAY.html","GOBP_G_PROTEIN_COUPLED_ACETYLCHOLINE_RECEPTOR_SIGNALING_PATHWAY")</f>
        <v>GOBP_G_PROTEIN_COUPLED_ACETYLCHOLINE_RECEPTOR_SIGNALING_PATHWAY</v>
      </c>
      <c r="C4343" s="4">
        <v>21</v>
      </c>
      <c r="D4343" s="3">
        <v>0.69726310000000002</v>
      </c>
      <c r="E4343" s="1">
        <v>0.88468469999999999</v>
      </c>
      <c r="F4343" s="2">
        <v>0.9704334</v>
      </c>
    </row>
    <row r="4344" spans="1:6" x14ac:dyDescent="0.25">
      <c r="A4344" t="s">
        <v>6</v>
      </c>
      <c r="B4344" s="5" t="str">
        <f>HYPERLINK("http://www.broadinstitute.org/gsea/msigdb/cards/GOBP_TYPE_B_PANCREATIC_CELL_DEVELOPMENT.html","GOBP_TYPE_B_PANCREATIC_CELL_DEVELOPMENT")</f>
        <v>GOBP_TYPE_B_PANCREATIC_CELL_DEVELOPMENT</v>
      </c>
      <c r="C4344" s="4">
        <v>20</v>
      </c>
      <c r="D4344" s="3">
        <v>0.69703853000000005</v>
      </c>
      <c r="E4344" s="1">
        <v>0.88448274000000005</v>
      </c>
      <c r="F4344" s="2">
        <v>0.97036690000000003</v>
      </c>
    </row>
    <row r="4345" spans="1:6" x14ac:dyDescent="0.25">
      <c r="A4345" t="s">
        <v>8</v>
      </c>
      <c r="B4345" s="5" t="str">
        <f>HYPERLINK("http://www.broadinstitute.org/gsea/msigdb/cards/GOMF_SULFUR_COMPOUND_TRANSMEMBRANE_TRANSPORTER_ACTIVITY.html","GOMF_SULFUR_COMPOUND_TRANSMEMBRANE_TRANSPORTER_ACTIVITY")</f>
        <v>GOMF_SULFUR_COMPOUND_TRANSMEMBRANE_TRANSPORTER_ACTIVITY</v>
      </c>
      <c r="C4345" s="4">
        <v>54</v>
      </c>
      <c r="D4345" s="3">
        <v>0.69628303999999996</v>
      </c>
      <c r="E4345" s="1">
        <v>0.95901639999999999</v>
      </c>
      <c r="F4345" s="2">
        <v>0.97070339999999999</v>
      </c>
    </row>
    <row r="4346" spans="1:6" x14ac:dyDescent="0.25">
      <c r="A4346" t="s">
        <v>6</v>
      </c>
      <c r="B4346" s="5" t="str">
        <f>HYPERLINK("http://www.broadinstitute.org/gsea/msigdb/cards/GOBP_REGULATION_OF_MODIFICATION_OF_POSTSYNAPTIC_STRUCTURE.html","GOBP_REGULATION_OF_MODIFICATION_OF_POSTSYNAPTIC_STRUCTURE")</f>
        <v>GOBP_REGULATION_OF_MODIFICATION_OF_POSTSYNAPTIC_STRUCTURE</v>
      </c>
      <c r="C4346" s="4">
        <v>18</v>
      </c>
      <c r="D4346" s="3">
        <v>0.69601035</v>
      </c>
      <c r="E4346" s="1">
        <v>0.85637339999999995</v>
      </c>
      <c r="F4346" s="2">
        <v>0.97067219999999999</v>
      </c>
    </row>
    <row r="4347" spans="1:6" x14ac:dyDescent="0.25">
      <c r="A4347" t="s">
        <v>6</v>
      </c>
      <c r="B4347" s="5" t="str">
        <f>HYPERLINK("http://www.broadinstitute.org/gsea/msigdb/cards/GOBP_AXIS_SPECIFICATION.html","GOBP_AXIS_SPECIFICATION")</f>
        <v>GOBP_AXIS_SPECIFICATION</v>
      </c>
      <c r="C4347" s="4">
        <v>99</v>
      </c>
      <c r="D4347" s="3">
        <v>0.69536220000000004</v>
      </c>
      <c r="E4347" s="1">
        <v>0.98325722999999998</v>
      </c>
      <c r="F4347" s="2">
        <v>0.97092599999999996</v>
      </c>
    </row>
    <row r="4348" spans="1:6" x14ac:dyDescent="0.25">
      <c r="A4348" t="s">
        <v>6</v>
      </c>
      <c r="B4348" s="5" t="str">
        <f>HYPERLINK("http://www.broadinstitute.org/gsea/msigdb/cards/GOBP_REGULATION_OF_NON_MOTILE_CILIUM_ASSEMBLY.html","GOBP_REGULATION_OF_NON_MOTILE_CILIUM_ASSEMBLY")</f>
        <v>GOBP_REGULATION_OF_NON_MOTILE_CILIUM_ASSEMBLY</v>
      </c>
      <c r="C4348" s="4">
        <v>17</v>
      </c>
      <c r="D4348" s="3">
        <v>0.69449170000000005</v>
      </c>
      <c r="E4348" s="1">
        <v>0.89824563000000002</v>
      </c>
      <c r="F4348" s="2">
        <v>0.97135090000000002</v>
      </c>
    </row>
    <row r="4349" spans="1:6" x14ac:dyDescent="0.25">
      <c r="A4349" t="s">
        <v>6</v>
      </c>
      <c r="B4349" s="5" t="str">
        <f>HYPERLINK("http://www.broadinstitute.org/gsea/msigdb/cards/GOBP_PHOSPHATIDIC_ACID_METABOLIC_PROCESS.html","GOBP_PHOSPHATIDIC_ACID_METABOLIC_PROCESS")</f>
        <v>GOBP_PHOSPHATIDIC_ACID_METABOLIC_PROCESS</v>
      </c>
      <c r="C4349" s="4">
        <v>26</v>
      </c>
      <c r="D4349" s="3">
        <v>0.69434463999999996</v>
      </c>
      <c r="E4349" s="1">
        <v>0.8978583</v>
      </c>
      <c r="F4349" s="2">
        <v>0.97123766</v>
      </c>
    </row>
    <row r="4350" spans="1:6" x14ac:dyDescent="0.25">
      <c r="A4350" t="s">
        <v>8</v>
      </c>
      <c r="B4350" s="5" t="str">
        <f>HYPERLINK("http://www.broadinstitute.org/gsea/msigdb/cards/GOMF_PROTEASOME_BINDING.html","GOMF_PROTEASOME_BINDING")</f>
        <v>GOMF_PROTEASOME_BINDING</v>
      </c>
      <c r="C4350" s="4">
        <v>20</v>
      </c>
      <c r="D4350" s="3">
        <v>0.69420444999999997</v>
      </c>
      <c r="E4350" s="1">
        <v>0.88927334999999996</v>
      </c>
      <c r="F4350" s="2">
        <v>0.97110890000000005</v>
      </c>
    </row>
    <row r="4351" spans="1:6" x14ac:dyDescent="0.25">
      <c r="A4351" t="s">
        <v>6</v>
      </c>
      <c r="B4351" s="5" t="str">
        <f>HYPERLINK("http://www.broadinstitute.org/gsea/msigdb/cards/GOBP_DNA_DUPLEX_UNWINDING.html","GOBP_DNA_DUPLEX_UNWINDING")</f>
        <v>GOBP_DNA_DUPLEX_UNWINDING</v>
      </c>
      <c r="C4351" s="4">
        <v>45</v>
      </c>
      <c r="D4351" s="3">
        <v>0.69404920000000003</v>
      </c>
      <c r="E4351" s="1">
        <v>0.94019929999999996</v>
      </c>
      <c r="F4351" s="2">
        <v>0.97098969999999996</v>
      </c>
    </row>
    <row r="4352" spans="1:6" x14ac:dyDescent="0.25">
      <c r="A4352" t="s">
        <v>8</v>
      </c>
      <c r="B4352" s="5" t="str">
        <f>HYPERLINK("http://www.broadinstitute.org/gsea/msigdb/cards/GOMF_ACTIVE_MONOATOMIC_ION_TRANSMEMBRANE_TRANSPORTER_ACTIVITY.html","GOMF_ACTIVE_MONOATOMIC_ION_TRANSMEMBRANE_TRANSPORTER_ACTIVITY")</f>
        <v>GOMF_ACTIVE_MONOATOMIC_ION_TRANSMEMBRANE_TRANSPORTER_ACTIVITY</v>
      </c>
      <c r="C4352" s="4">
        <v>226</v>
      </c>
      <c r="D4352" s="3">
        <v>0.69261782999999999</v>
      </c>
      <c r="E4352" s="1">
        <v>0.99858559999999996</v>
      </c>
      <c r="F4352" s="2">
        <v>0.97178120000000001</v>
      </c>
    </row>
    <row r="4353" spans="1:6" x14ac:dyDescent="0.25">
      <c r="A4353" t="s">
        <v>8</v>
      </c>
      <c r="B4353" s="5" t="str">
        <f>HYPERLINK("http://www.broadinstitute.org/gsea/msigdb/cards/GOMF_AMINO_ACID_SODIUM_SYMPORTER_ACTIVITY.html","GOMF_AMINO_ACID_SODIUM_SYMPORTER_ACTIVITY")</f>
        <v>GOMF_AMINO_ACID_SODIUM_SYMPORTER_ACTIVITY</v>
      </c>
      <c r="C4353" s="4">
        <v>24</v>
      </c>
      <c r="D4353" s="3">
        <v>0.69236240000000004</v>
      </c>
      <c r="E4353" s="1">
        <v>0.9004894</v>
      </c>
      <c r="F4353" s="2">
        <v>0.9717327</v>
      </c>
    </row>
    <row r="4354" spans="1:6" x14ac:dyDescent="0.25">
      <c r="A4354" t="s">
        <v>6</v>
      </c>
      <c r="B4354" s="5" t="str">
        <f>HYPERLINK("http://www.broadinstitute.org/gsea/msigdb/cards/GOBP_NEGATIVE_REGULATION_OF_FATTY_ACID_BIOSYNTHETIC_PROCESS.html","GOBP_NEGATIVE_REGULATION_OF_FATTY_ACID_BIOSYNTHETIC_PROCESS")</f>
        <v>GOBP_NEGATIVE_REGULATION_OF_FATTY_ACID_BIOSYNTHETIC_PROCESS</v>
      </c>
      <c r="C4354" s="4">
        <v>19</v>
      </c>
      <c r="D4354" s="3">
        <v>0.69161665000000005</v>
      </c>
      <c r="E4354" s="1">
        <v>0.8866328</v>
      </c>
      <c r="F4354" s="2">
        <v>0.97204924000000004</v>
      </c>
    </row>
    <row r="4355" spans="1:6" x14ac:dyDescent="0.25">
      <c r="A4355" t="s">
        <v>6</v>
      </c>
      <c r="B4355" s="5" t="str">
        <f>HYPERLINK("http://www.broadinstitute.org/gsea/msigdb/cards/GOBP_MITOTIC_G2_M_TRANSITION_CHECKPOINT.html","GOBP_MITOTIC_G2_M_TRANSITION_CHECKPOINT")</f>
        <v>GOBP_MITOTIC_G2_M_TRANSITION_CHECKPOINT</v>
      </c>
      <c r="C4355" s="4">
        <v>55</v>
      </c>
      <c r="D4355" s="3">
        <v>0.69111489999999998</v>
      </c>
      <c r="E4355" s="1">
        <v>0.96110209999999996</v>
      </c>
      <c r="F4355" s="2">
        <v>0.97218775999999996</v>
      </c>
    </row>
    <row r="4356" spans="1:6" x14ac:dyDescent="0.25">
      <c r="A4356" t="s">
        <v>7</v>
      </c>
      <c r="B4356" s="5" t="str">
        <f>HYPERLINK("http://www.broadinstitute.org/gsea/msigdb/cards/GOCC_PHAGOPHORE_ASSEMBLY_SITE_MEMBRANE.html","GOCC_PHAGOPHORE_ASSEMBLY_SITE_MEMBRANE")</f>
        <v>GOCC_PHAGOPHORE_ASSEMBLY_SITE_MEMBRANE</v>
      </c>
      <c r="C4356" s="4">
        <v>16</v>
      </c>
      <c r="D4356" s="3">
        <v>0.69009770000000004</v>
      </c>
      <c r="E4356" s="1">
        <v>0.84916199999999997</v>
      </c>
      <c r="F4356" s="2">
        <v>0.97265489999999999</v>
      </c>
    </row>
    <row r="4357" spans="1:6" x14ac:dyDescent="0.25">
      <c r="A4357" t="s">
        <v>6</v>
      </c>
      <c r="B4357" s="5" t="str">
        <f>HYPERLINK("http://www.broadinstitute.org/gsea/msigdb/cards/GOBP_NEGATIVE_REGULATION_OF_PROTEIN_DEPHOSPHORYLATION.html","GOBP_NEGATIVE_REGULATION_OF_PROTEIN_DEPHOSPHORYLATION")</f>
        <v>GOBP_NEGATIVE_REGULATION_OF_PROTEIN_DEPHOSPHORYLATION</v>
      </c>
      <c r="C4357" s="4">
        <v>32</v>
      </c>
      <c r="D4357" s="3">
        <v>0.69007510000000005</v>
      </c>
      <c r="E4357" s="1">
        <v>0.92905409999999999</v>
      </c>
      <c r="F4357" s="2">
        <v>0.97244799999999998</v>
      </c>
    </row>
    <row r="4358" spans="1:6" x14ac:dyDescent="0.25">
      <c r="A4358" t="s">
        <v>6</v>
      </c>
      <c r="B4358" s="5" t="str">
        <f>HYPERLINK("http://www.broadinstitute.org/gsea/msigdb/cards/GOBP_DOPAMINE_TRANSPORT.html","GOBP_DOPAMINE_TRANSPORT")</f>
        <v>GOBP_DOPAMINE_TRANSPORT</v>
      </c>
      <c r="C4358" s="4">
        <v>63</v>
      </c>
      <c r="D4358" s="3">
        <v>0.68888289999999996</v>
      </c>
      <c r="E4358" s="1">
        <v>0.94577354000000002</v>
      </c>
      <c r="F4358" s="2">
        <v>0.9730434</v>
      </c>
    </row>
    <row r="4359" spans="1:6" x14ac:dyDescent="0.25">
      <c r="A4359" t="s">
        <v>8</v>
      </c>
      <c r="B4359" s="5" t="str">
        <f>HYPERLINK("http://www.broadinstitute.org/gsea/msigdb/cards/GOMF_DNA_NUCLEASE_ACTIVITY.html","GOMF_DNA_NUCLEASE_ACTIVITY")</f>
        <v>GOMF_DNA_NUCLEASE_ACTIVITY</v>
      </c>
      <c r="C4359" s="4">
        <v>60</v>
      </c>
      <c r="D4359" s="3">
        <v>0.68885266999999994</v>
      </c>
      <c r="E4359" s="1">
        <v>0.95534289999999999</v>
      </c>
      <c r="F4359" s="2">
        <v>0.97284179999999998</v>
      </c>
    </row>
    <row r="4360" spans="1:6" x14ac:dyDescent="0.25">
      <c r="A4360" t="s">
        <v>6</v>
      </c>
      <c r="B4360" s="5" t="str">
        <f>HYPERLINK("http://www.broadinstitute.org/gsea/msigdb/cards/GOBP_PROTEIN_LOCALIZATION_TO_MICROTUBULE.html","GOBP_PROTEIN_LOCALIZATION_TO_MICROTUBULE")</f>
        <v>GOBP_PROTEIN_LOCALIZATION_TO_MICROTUBULE</v>
      </c>
      <c r="C4360" s="4">
        <v>20</v>
      </c>
      <c r="D4360" s="3">
        <v>0.68805260000000001</v>
      </c>
      <c r="E4360" s="1">
        <v>0.89666665000000001</v>
      </c>
      <c r="F4360" s="2">
        <v>0.97315719999999994</v>
      </c>
    </row>
    <row r="4361" spans="1:6" x14ac:dyDescent="0.25">
      <c r="A4361" t="s">
        <v>6</v>
      </c>
      <c r="B4361" s="5" t="str">
        <f>HYPERLINK("http://www.broadinstitute.org/gsea/msigdb/cards/GOBP_GLYCINE_TRANSPORT.html","GOBP_GLYCINE_TRANSPORT")</f>
        <v>GOBP_GLYCINE_TRANSPORT</v>
      </c>
      <c r="C4361" s="4">
        <v>15</v>
      </c>
      <c r="D4361" s="3">
        <v>0.68805159999999999</v>
      </c>
      <c r="E4361" s="1">
        <v>0.89145905000000003</v>
      </c>
      <c r="F4361" s="2">
        <v>0.97293465999999995</v>
      </c>
    </row>
    <row r="4362" spans="1:6" x14ac:dyDescent="0.25">
      <c r="A4362" t="s">
        <v>6</v>
      </c>
      <c r="B4362" s="5" t="str">
        <f>HYPERLINK("http://www.broadinstitute.org/gsea/msigdb/cards/GOBP_CYTOPLASMIC_MICROTUBULE_ORGANIZATION.html","GOBP_CYTOPLASMIC_MICROTUBULE_ORGANIZATION")</f>
        <v>GOBP_CYTOPLASMIC_MICROTUBULE_ORGANIZATION</v>
      </c>
      <c r="C4362" s="4">
        <v>62</v>
      </c>
      <c r="D4362" s="3">
        <v>0.68762579999999995</v>
      </c>
      <c r="E4362" s="1">
        <v>0.958457</v>
      </c>
      <c r="F4362" s="2">
        <v>0.97298989999999996</v>
      </c>
    </row>
    <row r="4363" spans="1:6" x14ac:dyDescent="0.25">
      <c r="A4363" t="s">
        <v>6</v>
      </c>
      <c r="B4363" s="5" t="str">
        <f>HYPERLINK("http://www.broadinstitute.org/gsea/msigdb/cards/GOBP_ISOPRENOID_BIOSYNTHETIC_PROCESS.html","GOBP_ISOPRENOID_BIOSYNTHETIC_PROCESS")</f>
        <v>GOBP_ISOPRENOID_BIOSYNTHETIC_PROCESS</v>
      </c>
      <c r="C4363" s="4">
        <v>40</v>
      </c>
      <c r="D4363" s="3">
        <v>0.68470209999999998</v>
      </c>
      <c r="E4363" s="1">
        <v>0.94043887000000004</v>
      </c>
      <c r="F4363" s="2">
        <v>0.97474959999999999</v>
      </c>
    </row>
    <row r="4364" spans="1:6" x14ac:dyDescent="0.25">
      <c r="A4364" t="s">
        <v>6</v>
      </c>
      <c r="B4364" s="5" t="str">
        <f>HYPERLINK("http://www.broadinstitute.org/gsea/msigdb/cards/GOBP_MESODERMAL_CELL_FATE_COMMITMENT.html","GOBP_MESODERMAL_CELL_FATE_COMMITMENT")</f>
        <v>GOBP_MESODERMAL_CELL_FATE_COMMITMENT</v>
      </c>
      <c r="C4364" s="4">
        <v>16</v>
      </c>
      <c r="D4364" s="3">
        <v>0.68320829999999999</v>
      </c>
      <c r="E4364" s="1">
        <v>0.8799283</v>
      </c>
      <c r="F4364" s="2">
        <v>0.97549319999999995</v>
      </c>
    </row>
    <row r="4365" spans="1:6" x14ac:dyDescent="0.25">
      <c r="A4365" t="s">
        <v>6</v>
      </c>
      <c r="B4365" s="5" t="str">
        <f>HYPERLINK("http://www.broadinstitute.org/gsea/msigdb/cards/GOBP_POTASSIUM_ION_TRANSPORT.html","GOBP_POTASSIUM_ION_TRANSPORT")</f>
        <v>GOBP_POTASSIUM_ION_TRANSPORT</v>
      </c>
      <c r="C4365" s="4">
        <v>246</v>
      </c>
      <c r="D4365" s="3">
        <v>0.68306659999999997</v>
      </c>
      <c r="E4365" s="1">
        <v>0.99860333999999995</v>
      </c>
      <c r="F4365" s="2">
        <v>0.97535985999999997</v>
      </c>
    </row>
    <row r="4366" spans="1:6" x14ac:dyDescent="0.25">
      <c r="A4366" t="s">
        <v>6</v>
      </c>
      <c r="B4366" s="5" t="str">
        <f>HYPERLINK("http://www.broadinstitute.org/gsea/msigdb/cards/GOBP_NEGATIVE_REGULATION_OF_DNA_BIOSYNTHETIC_PROCESS.html","GOBP_NEGATIVE_REGULATION_OF_DNA_BIOSYNTHETIC_PROCESS")</f>
        <v>GOBP_NEGATIVE_REGULATION_OF_DNA_BIOSYNTHETIC_PROCESS</v>
      </c>
      <c r="C4366" s="4">
        <v>41</v>
      </c>
      <c r="D4366" s="3">
        <v>0.68292719999999996</v>
      </c>
      <c r="E4366" s="1">
        <v>0.95477383999999998</v>
      </c>
      <c r="F4366" s="2">
        <v>0.97522419999999999</v>
      </c>
    </row>
    <row r="4367" spans="1:6" x14ac:dyDescent="0.25">
      <c r="A4367" t="s">
        <v>6</v>
      </c>
      <c r="B4367" s="5" t="str">
        <f>HYPERLINK("http://www.broadinstitute.org/gsea/msigdb/cards/GOBP_REGULATION_OF_SISTER_CHROMATID_COHESION.html","GOBP_REGULATION_OF_SISTER_CHROMATID_COHESION")</f>
        <v>GOBP_REGULATION_OF_SISTER_CHROMATID_COHESION</v>
      </c>
      <c r="C4367" s="4">
        <v>17</v>
      </c>
      <c r="D4367" s="3">
        <v>0.68268085000000001</v>
      </c>
      <c r="E4367" s="1">
        <v>0.89930560000000004</v>
      </c>
      <c r="F4367" s="2">
        <v>0.97515359999999995</v>
      </c>
    </row>
    <row r="4368" spans="1:6" x14ac:dyDescent="0.25">
      <c r="A4368" t="s">
        <v>6</v>
      </c>
      <c r="B4368" s="5" t="str">
        <f>HYPERLINK("http://www.broadinstitute.org/gsea/msigdb/cards/GOBP_DIACYLGLYCEROL_METABOLIC_PROCESS.html","GOBP_DIACYLGLYCEROL_METABOLIC_PROCESS")</f>
        <v>GOBP_DIACYLGLYCEROL_METABOLIC_PROCESS</v>
      </c>
      <c r="C4368" s="4">
        <v>29</v>
      </c>
      <c r="D4368" s="3">
        <v>0.68143450000000005</v>
      </c>
      <c r="E4368" s="1">
        <v>0.92307689999999998</v>
      </c>
      <c r="F4368" s="2">
        <v>0.9757015</v>
      </c>
    </row>
    <row r="4369" spans="1:6" x14ac:dyDescent="0.25">
      <c r="A4369" t="s">
        <v>7</v>
      </c>
      <c r="B4369" s="5" t="str">
        <f>HYPERLINK("http://www.broadinstitute.org/gsea/msigdb/cards/GOCC_MITOTIC_SPINDLE_POLE.html","GOCC_MITOTIC_SPINDLE_POLE")</f>
        <v>GOCC_MITOTIC_SPINDLE_POLE</v>
      </c>
      <c r="C4369" s="4">
        <v>40</v>
      </c>
      <c r="D4369" s="3">
        <v>0.67982715000000005</v>
      </c>
      <c r="E4369" s="1">
        <v>0.94247040000000004</v>
      </c>
      <c r="F4369" s="2">
        <v>0.97649145000000004</v>
      </c>
    </row>
    <row r="4370" spans="1:6" x14ac:dyDescent="0.25">
      <c r="A4370" t="s">
        <v>6</v>
      </c>
      <c r="B4370" s="5" t="str">
        <f>HYPERLINK("http://www.broadinstitute.org/gsea/msigdb/cards/GOBP_DNA_DOUBLE_STRAND_BREAK_PROCESSING.html","GOBP_DNA_DOUBLE_STRAND_BREAK_PROCESSING")</f>
        <v>GOBP_DNA_DOUBLE_STRAND_BREAK_PROCESSING</v>
      </c>
      <c r="C4370" s="4">
        <v>19</v>
      </c>
      <c r="D4370" s="3">
        <v>0.67977030000000005</v>
      </c>
      <c r="E4370" s="1">
        <v>0.91212654000000004</v>
      </c>
      <c r="F4370" s="2">
        <v>0.97630536999999995</v>
      </c>
    </row>
    <row r="4371" spans="1:6" x14ac:dyDescent="0.25">
      <c r="A4371" t="s">
        <v>6</v>
      </c>
      <c r="B4371" s="5" t="str">
        <f>HYPERLINK("http://www.broadinstitute.org/gsea/msigdb/cards/GOBP_NEUROTRANSMITTER_RECEPTOR_TRANSPORT.html","GOBP_NEUROTRANSMITTER_RECEPTOR_TRANSPORT")</f>
        <v>GOBP_NEUROTRANSMITTER_RECEPTOR_TRANSPORT</v>
      </c>
      <c r="C4371" s="4">
        <v>33</v>
      </c>
      <c r="D4371" s="3">
        <v>0.67853350000000001</v>
      </c>
      <c r="E4371" s="1">
        <v>0.93558775999999999</v>
      </c>
      <c r="F4371" s="2">
        <v>0.97685032999999999</v>
      </c>
    </row>
    <row r="4372" spans="1:6" x14ac:dyDescent="0.25">
      <c r="A4372" t="s">
        <v>6</v>
      </c>
      <c r="B4372" s="5" t="str">
        <f>HYPERLINK("http://www.broadinstitute.org/gsea/msigdb/cards/GOBP_NEGATIVE_REGULATION_OF_SYNAPSE_ORGANIZATION.html","GOBP_NEGATIVE_REGULATION_OF_SYNAPSE_ORGANIZATION")</f>
        <v>GOBP_NEGATIVE_REGULATION_OF_SYNAPSE_ORGANIZATION</v>
      </c>
      <c r="C4372" s="4">
        <v>18</v>
      </c>
      <c r="D4372" s="3">
        <v>0.67466599999999999</v>
      </c>
      <c r="E4372" s="1">
        <v>0.90673579999999998</v>
      </c>
      <c r="F4372" s="2">
        <v>0.97896329999999998</v>
      </c>
    </row>
    <row r="4373" spans="1:6" x14ac:dyDescent="0.25">
      <c r="A4373" t="s">
        <v>8</v>
      </c>
      <c r="B4373" s="5" t="str">
        <f>HYPERLINK("http://www.broadinstitute.org/gsea/msigdb/cards/GOMF_L_GLUTAMATE_TRANSMEMBRANE_TRANSPORTER_ACTIVITY.html","GOMF_L_GLUTAMATE_TRANSMEMBRANE_TRANSPORTER_ACTIVITY")</f>
        <v>GOMF_L_GLUTAMATE_TRANSMEMBRANE_TRANSPORTER_ACTIVITY</v>
      </c>
      <c r="C4373" s="4">
        <v>15</v>
      </c>
      <c r="D4373" s="3">
        <v>0.67219806000000004</v>
      </c>
      <c r="E4373" s="1">
        <v>0.89509309999999997</v>
      </c>
      <c r="F4373" s="2">
        <v>0.98018645999999998</v>
      </c>
    </row>
    <row r="4374" spans="1:6" x14ac:dyDescent="0.25">
      <c r="A4374" t="s">
        <v>6</v>
      </c>
      <c r="B4374" s="5" t="str">
        <f>HYPERLINK("http://www.broadinstitute.org/gsea/msigdb/cards/GOBP_REGULATION_OF_TRIGLYCERIDE_METABOLIC_PROCESS.html","GOBP_REGULATION_OF_TRIGLYCERIDE_METABOLIC_PROCESS")</f>
        <v>GOBP_REGULATION_OF_TRIGLYCERIDE_METABOLIC_PROCESS</v>
      </c>
      <c r="C4374" s="4">
        <v>52</v>
      </c>
      <c r="D4374" s="3">
        <v>0.67073830000000001</v>
      </c>
      <c r="E4374" s="1">
        <v>0.95905510000000005</v>
      </c>
      <c r="F4374" s="2">
        <v>0.98080979999999995</v>
      </c>
    </row>
    <row r="4375" spans="1:6" x14ac:dyDescent="0.25">
      <c r="A4375" t="s">
        <v>6</v>
      </c>
      <c r="B4375" s="5" t="str">
        <f>HYPERLINK("http://www.broadinstitute.org/gsea/msigdb/cards/GOBP_POSITIVE_REGULATION_OF_NEURON_MIGRATION.html","GOBP_POSITIVE_REGULATION_OF_NEURON_MIGRATION")</f>
        <v>GOBP_POSITIVE_REGULATION_OF_NEURON_MIGRATION</v>
      </c>
      <c r="C4375" s="4">
        <v>24</v>
      </c>
      <c r="D4375" s="3">
        <v>0.67022720000000002</v>
      </c>
      <c r="E4375" s="1">
        <v>0.92201040000000001</v>
      </c>
      <c r="F4375" s="2">
        <v>0.98087999999999997</v>
      </c>
    </row>
    <row r="4376" spans="1:6" x14ac:dyDescent="0.25">
      <c r="A4376" t="s">
        <v>8</v>
      </c>
      <c r="B4376" s="5" t="str">
        <f>HYPERLINK("http://www.broadinstitute.org/gsea/msigdb/cards/GOMF_OXIDOREDUCTASE_ACTIVITY_ACTING_ON_PAIRED_DONORS_WITH_INCORPORATION_OR_REDUCTION_OF_MOLECULAR_OXYGEN_REDUCED_FLAVIN_OR_FLAVOPROTEIN_AS_ONE_DONOR_AND_INCORPORATION_OF_ONE_ATOM_OF_OXYGEN.html","GOMF_OXIDOREDUCTASE_ACTIVITY_ACTING_ON_PAIRED_DONORS_WITH_INCORPORATION_OR_REDUCTION_OF_MOLECULAR_OXYGEN_REDUCED_FLAVIN_OR_FLAVOPROTEIN_AS_ONE_DONOR_AND_INCORPORATION_OF_ONE_ATOM_OF_OXYGEN")</f>
        <v>GOMF_OXIDOREDUCTASE_ACTIVITY_ACTING_ON_PAIRED_DONORS_WITH_INCORPORATION_OR_REDUCTION_OF_MOLECULAR_OXYGEN_REDUCED_FLAVIN_OR_FLAVOPROTEIN_AS_ONE_DONOR_AND_INCORPORATION_OF_ONE_ATOM_OF_OXYGEN</v>
      </c>
      <c r="C4376" s="4">
        <v>59</v>
      </c>
      <c r="D4376" s="3">
        <v>0.66834470000000001</v>
      </c>
      <c r="E4376" s="1">
        <v>0.97702909999999998</v>
      </c>
      <c r="F4376" s="2">
        <v>0.98173520000000003</v>
      </c>
    </row>
    <row r="4377" spans="1:6" x14ac:dyDescent="0.25">
      <c r="A4377" t="s">
        <v>6</v>
      </c>
      <c r="B4377" s="5" t="str">
        <f>HYPERLINK("http://www.broadinstitute.org/gsea/msigdb/cards/GOBP_SPINDLE_ORGANIZATION.html","GOBP_SPINDLE_ORGANIZATION")</f>
        <v>GOBP_SPINDLE_ORGANIZATION</v>
      </c>
      <c r="C4377" s="4">
        <v>192</v>
      </c>
      <c r="D4377" s="3">
        <v>0.6662209</v>
      </c>
      <c r="E4377" s="1">
        <v>0.99857549999999995</v>
      </c>
      <c r="F4377" s="2">
        <v>0.9826587</v>
      </c>
    </row>
    <row r="4378" spans="1:6" x14ac:dyDescent="0.25">
      <c r="A4378" t="s">
        <v>6</v>
      </c>
      <c r="B4378" s="5" t="str">
        <f>HYPERLINK("http://www.broadinstitute.org/gsea/msigdb/cards/GOBP_GLUCOSE_CATABOLIC_PROCESS.html","GOBP_GLUCOSE_CATABOLIC_PROCESS")</f>
        <v>GOBP_GLUCOSE_CATABOLIC_PROCESS</v>
      </c>
      <c r="C4378" s="4">
        <v>26</v>
      </c>
      <c r="D4378" s="3">
        <v>0.66590004999999997</v>
      </c>
      <c r="E4378" s="1">
        <v>0.92783504999999999</v>
      </c>
      <c r="F4378" s="2">
        <v>0.98261069999999995</v>
      </c>
    </row>
    <row r="4379" spans="1:6" x14ac:dyDescent="0.25">
      <c r="A4379" t="s">
        <v>10</v>
      </c>
      <c r="B4379" s="5" t="str">
        <f>HYPERLINK("http://www.broadinstitute.org/gsea/msigdb/cards/REACTOME_SUMOYLATION_OF_RNA_BINDING_PROTEINS.html","REACTOME_SUMOYLATION_OF_RNA_BINDING_PROTEINS")</f>
        <v>REACTOME_SUMOYLATION_OF_RNA_BINDING_PROTEINS</v>
      </c>
      <c r="C4379" s="4">
        <v>46</v>
      </c>
      <c r="D4379" s="3">
        <v>0.66522645999999996</v>
      </c>
      <c r="E4379" s="1">
        <v>0.95911950000000001</v>
      </c>
      <c r="F4379" s="2">
        <v>0.98275553999999998</v>
      </c>
    </row>
    <row r="4380" spans="1:6" x14ac:dyDescent="0.25">
      <c r="A4380" t="s">
        <v>7</v>
      </c>
      <c r="B4380" s="5" t="str">
        <f>HYPERLINK("http://www.broadinstitute.org/gsea/msigdb/cards/GOCC_DENDRITE_CYTOPLASM.html","GOCC_DENDRITE_CYTOPLASM")</f>
        <v>GOCC_DENDRITE_CYTOPLASM</v>
      </c>
      <c r="C4380" s="4">
        <v>32</v>
      </c>
      <c r="D4380" s="3">
        <v>0.66506034000000003</v>
      </c>
      <c r="E4380" s="1">
        <v>0.94492257000000002</v>
      </c>
      <c r="F4380" s="2">
        <v>0.98262196999999996</v>
      </c>
    </row>
    <row r="4381" spans="1:6" x14ac:dyDescent="0.25">
      <c r="A4381" t="s">
        <v>6</v>
      </c>
      <c r="B4381" s="5" t="str">
        <f>HYPERLINK("http://www.broadinstitute.org/gsea/msigdb/cards/GOBP_LIPOPROTEIN_METABOLIC_PROCESS.html","GOBP_LIPOPROTEIN_METABOLIC_PROCESS")</f>
        <v>GOBP_LIPOPROTEIN_METABOLIC_PROCESS</v>
      </c>
      <c r="C4381" s="4">
        <v>134</v>
      </c>
      <c r="D4381" s="3">
        <v>0.66406390000000004</v>
      </c>
      <c r="E4381" s="1">
        <v>0.99415207000000005</v>
      </c>
      <c r="F4381" s="2">
        <v>0.98294424999999996</v>
      </c>
    </row>
    <row r="4382" spans="1:6" x14ac:dyDescent="0.25">
      <c r="A4382" t="s">
        <v>7</v>
      </c>
      <c r="B4382" s="5" t="str">
        <f>HYPERLINK("http://www.broadinstitute.org/gsea/msigdb/cards/GOCC_ENDOPLASMIC_RETICULUM_TUBULAR_NETWORK.html","GOCC_ENDOPLASMIC_RETICULUM_TUBULAR_NETWORK")</f>
        <v>GOCC_ENDOPLASMIC_RETICULUM_TUBULAR_NETWORK</v>
      </c>
      <c r="C4382" s="4">
        <v>30</v>
      </c>
      <c r="D4382" s="3">
        <v>0.66398060000000003</v>
      </c>
      <c r="E4382" s="1">
        <v>0.94772345000000002</v>
      </c>
      <c r="F4382" s="2">
        <v>0.98275599999999996</v>
      </c>
    </row>
    <row r="4383" spans="1:6" x14ac:dyDescent="0.25">
      <c r="A4383" t="s">
        <v>8</v>
      </c>
      <c r="B4383" s="5" t="str">
        <f>HYPERLINK("http://www.broadinstitute.org/gsea/msigdb/cards/GOMF_MONOATOMIC_ANION_TRANSMEMBRANE_TRANSPORTER_ACTIVITY.html","GOMF_MONOATOMIC_ANION_TRANSMEMBRANE_TRANSPORTER_ACTIVITY")</f>
        <v>GOMF_MONOATOMIC_ANION_TRANSMEMBRANE_TRANSPORTER_ACTIVITY</v>
      </c>
      <c r="C4383" s="4">
        <v>145</v>
      </c>
      <c r="D4383" s="3">
        <v>0.66223509999999997</v>
      </c>
      <c r="E4383" s="1">
        <v>0.99850744000000002</v>
      </c>
      <c r="F4383" s="2">
        <v>0.98347693999999997</v>
      </c>
    </row>
    <row r="4384" spans="1:6" x14ac:dyDescent="0.25">
      <c r="A4384" t="s">
        <v>10</v>
      </c>
      <c r="B4384" s="5" t="str">
        <f>HYPERLINK("http://www.broadinstitute.org/gsea/msigdb/cards/REACTOME_ENDOSOMAL_SORTING_COMPLEX_REQUIRED_FOR_TRANSPORT_ESCRT.html","REACTOME_ENDOSOMAL_SORTING_COMPLEX_REQUIRED_FOR_TRANSPORT_ESCRT")</f>
        <v>REACTOME_ENDOSOMAL_SORTING_COMPLEX_REQUIRED_FOR_TRANSPORT_ESCRT</v>
      </c>
      <c r="C4384" s="4">
        <v>30</v>
      </c>
      <c r="D4384" s="3">
        <v>0.66125107000000005</v>
      </c>
      <c r="E4384" s="1">
        <v>0.95921694999999996</v>
      </c>
      <c r="F4384" s="2">
        <v>0.98375933999999998</v>
      </c>
    </row>
    <row r="4385" spans="1:6" x14ac:dyDescent="0.25">
      <c r="A4385" t="s">
        <v>6</v>
      </c>
      <c r="B4385" s="5" t="str">
        <f>HYPERLINK("http://www.broadinstitute.org/gsea/msigdb/cards/GOBP_ASPARTATE_TRANSMEMBRANE_TRANSPORT.html","GOBP_ASPARTATE_TRANSMEMBRANE_TRANSPORT")</f>
        <v>GOBP_ASPARTATE_TRANSMEMBRANE_TRANSPORT</v>
      </c>
      <c r="C4385" s="4">
        <v>20</v>
      </c>
      <c r="D4385" s="3">
        <v>0.66011730000000002</v>
      </c>
      <c r="E4385" s="1">
        <v>0.93814430000000004</v>
      </c>
      <c r="F4385" s="2">
        <v>0.98410710000000001</v>
      </c>
    </row>
    <row r="4386" spans="1:6" x14ac:dyDescent="0.25">
      <c r="A4386" t="s">
        <v>6</v>
      </c>
      <c r="B4386" s="5" t="str">
        <f>HYPERLINK("http://www.broadinstitute.org/gsea/msigdb/cards/GOBP_INCLUSION_BODY_ASSEMBLY.html","GOBP_INCLUSION_BODY_ASSEMBLY")</f>
        <v>GOBP_INCLUSION_BODY_ASSEMBLY</v>
      </c>
      <c r="C4386" s="4">
        <v>24</v>
      </c>
      <c r="D4386" s="3">
        <v>0.65865099999999999</v>
      </c>
      <c r="E4386" s="1">
        <v>0.93365693000000005</v>
      </c>
      <c r="F4386" s="2">
        <v>0.98459960000000002</v>
      </c>
    </row>
    <row r="4387" spans="1:6" x14ac:dyDescent="0.25">
      <c r="A4387" t="s">
        <v>10</v>
      </c>
      <c r="B4387" s="5" t="str">
        <f>HYPERLINK("http://www.broadinstitute.org/gsea/msigdb/cards/REACTOME_NUCLEAR_ENVELOPE_NE_REASSEMBLY.html","REACTOME_NUCLEAR_ENVELOPE_NE_REASSEMBLY")</f>
        <v>REACTOME_NUCLEAR_ENVELOPE_NE_REASSEMBLY</v>
      </c>
      <c r="C4387" s="4">
        <v>65</v>
      </c>
      <c r="D4387" s="3">
        <v>0.65724700000000003</v>
      </c>
      <c r="E4387" s="1">
        <v>0.98080000000000001</v>
      </c>
      <c r="F4387" s="2">
        <v>0.98509692999999998</v>
      </c>
    </row>
    <row r="4388" spans="1:6" x14ac:dyDescent="0.25">
      <c r="A4388" t="s">
        <v>6</v>
      </c>
      <c r="B4388" s="5" t="str">
        <f>HYPERLINK("http://www.broadinstitute.org/gsea/msigdb/cards/GOBP_NEGATIVE_REGULATION_OF_SODIUM_ION_TRANSPORT.html","GOBP_NEGATIVE_REGULATION_OF_SODIUM_ION_TRANSPORT")</f>
        <v>GOBP_NEGATIVE_REGULATION_OF_SODIUM_ION_TRANSPORT</v>
      </c>
      <c r="C4388" s="4">
        <v>21</v>
      </c>
      <c r="D4388" s="3">
        <v>0.65587229999999996</v>
      </c>
      <c r="E4388" s="1">
        <v>0.94545453999999995</v>
      </c>
      <c r="F4388" s="2">
        <v>0.98552830000000002</v>
      </c>
    </row>
    <row r="4389" spans="1:6" x14ac:dyDescent="0.25">
      <c r="A4389" t="s">
        <v>6</v>
      </c>
      <c r="B4389" s="5" t="str">
        <f>HYPERLINK("http://www.broadinstitute.org/gsea/msigdb/cards/GOBP_REGULATION_OF_ENDOCYTIC_RECYCLING.html","GOBP_REGULATION_OF_ENDOCYTIC_RECYCLING")</f>
        <v>GOBP_REGULATION_OF_ENDOCYTIC_RECYCLING</v>
      </c>
      <c r="C4389" s="4">
        <v>22</v>
      </c>
      <c r="D4389" s="3">
        <v>0.65549170000000001</v>
      </c>
      <c r="E4389" s="1">
        <v>0.91722970000000004</v>
      </c>
      <c r="F4389" s="2">
        <v>0.98548670000000005</v>
      </c>
    </row>
    <row r="4390" spans="1:6" x14ac:dyDescent="0.25">
      <c r="A4390" t="s">
        <v>6</v>
      </c>
      <c r="B4390" s="5" t="str">
        <f>HYPERLINK("http://www.broadinstitute.org/gsea/msigdb/cards/GOBP_PROTEIN_LOCALIZATION_TO_CILIUM.html","GOBP_PROTEIN_LOCALIZATION_TO_CILIUM")</f>
        <v>GOBP_PROTEIN_LOCALIZATION_TO_CILIUM</v>
      </c>
      <c r="C4390" s="4">
        <v>74</v>
      </c>
      <c r="D4390" s="3">
        <v>0.65485996000000002</v>
      </c>
      <c r="E4390" s="1">
        <v>0.98366010000000004</v>
      </c>
      <c r="F4390" s="2">
        <v>0.98556480000000002</v>
      </c>
    </row>
    <row r="4391" spans="1:6" x14ac:dyDescent="0.25">
      <c r="A4391" t="s">
        <v>7</v>
      </c>
      <c r="B4391" s="5" t="str">
        <f>HYPERLINK("http://www.broadinstitute.org/gsea/msigdb/cards/GOCC_ACROSOMAL_VESICLE.html","GOCC_ACROSOMAL_VESICLE")</f>
        <v>GOCC_ACROSOMAL_VESICLE</v>
      </c>
      <c r="C4391" s="4">
        <v>137</v>
      </c>
      <c r="D4391" s="3">
        <v>0.65467600000000004</v>
      </c>
      <c r="E4391" s="1">
        <v>0.99558824000000001</v>
      </c>
      <c r="F4391" s="2">
        <v>0.98542750000000001</v>
      </c>
    </row>
    <row r="4392" spans="1:6" x14ac:dyDescent="0.25">
      <c r="A4392" t="s">
        <v>8</v>
      </c>
      <c r="B4392" s="5" t="str">
        <f>HYPERLINK("http://www.broadinstitute.org/gsea/msigdb/cards/GOMF_PEPTIDE_HORMONE_BINDING.html","GOMF_PEPTIDE_HORMONE_BINDING")</f>
        <v>GOMF_PEPTIDE_HORMONE_BINDING</v>
      </c>
      <c r="C4392" s="4">
        <v>51</v>
      </c>
      <c r="D4392" s="3">
        <v>0.65364175999999996</v>
      </c>
      <c r="E4392" s="1">
        <v>0.97194720000000001</v>
      </c>
      <c r="F4392" s="2">
        <v>0.98568210000000001</v>
      </c>
    </row>
    <row r="4393" spans="1:6" x14ac:dyDescent="0.25">
      <c r="A4393" t="s">
        <v>6</v>
      </c>
      <c r="B4393" s="5" t="str">
        <f>HYPERLINK("http://www.broadinstitute.org/gsea/msigdb/cards/GOBP_PROTEIN_TARGETING_TO_PEROXISOME.html","GOBP_PROTEIN_TARGETING_TO_PEROXISOME")</f>
        <v>GOBP_PROTEIN_TARGETING_TO_PEROXISOME</v>
      </c>
      <c r="C4393" s="4">
        <v>20</v>
      </c>
      <c r="D4393" s="3">
        <v>0.65286520000000003</v>
      </c>
      <c r="E4393" s="1">
        <v>0.93157893000000003</v>
      </c>
      <c r="F4393" s="2">
        <v>0.98583750000000003</v>
      </c>
    </row>
    <row r="4394" spans="1:6" x14ac:dyDescent="0.25">
      <c r="A4394" t="s">
        <v>8</v>
      </c>
      <c r="B4394" s="5" t="str">
        <f>HYPERLINK("http://www.broadinstitute.org/gsea/msigdb/cards/GOMF_DYNEIN_LIGHT_INTERMEDIATE_CHAIN_BINDING.html","GOMF_DYNEIN_LIGHT_INTERMEDIATE_CHAIN_BINDING")</f>
        <v>GOMF_DYNEIN_LIGHT_INTERMEDIATE_CHAIN_BINDING</v>
      </c>
      <c r="C4394" s="4">
        <v>22</v>
      </c>
      <c r="D4394" s="3">
        <v>0.65272706999999996</v>
      </c>
      <c r="E4394" s="1">
        <v>0.94645939999999995</v>
      </c>
      <c r="F4394" s="2">
        <v>0.98567903000000001</v>
      </c>
    </row>
    <row r="4395" spans="1:6" x14ac:dyDescent="0.25">
      <c r="A4395" t="s">
        <v>6</v>
      </c>
      <c r="B4395" s="5" t="str">
        <f>HYPERLINK("http://www.broadinstitute.org/gsea/msigdb/cards/GOBP_POSITIVE_REGULATION_OF_CELL_MORPHOGENESIS.html","GOBP_POSITIVE_REGULATION_OF_CELL_MORPHOGENESIS")</f>
        <v>GOBP_POSITIVE_REGULATION_OF_CELL_MORPHOGENESIS</v>
      </c>
      <c r="C4395" s="4">
        <v>66</v>
      </c>
      <c r="D4395" s="3">
        <v>0.6526516</v>
      </c>
      <c r="E4395" s="1">
        <v>0.97588425999999995</v>
      </c>
      <c r="F4395" s="2">
        <v>0.98548996</v>
      </c>
    </row>
    <row r="4396" spans="1:6" x14ac:dyDescent="0.25">
      <c r="A4396" t="s">
        <v>7</v>
      </c>
      <c r="B4396" s="5" t="str">
        <f>HYPERLINK("http://www.broadinstitute.org/gsea/msigdb/cards/GOCC_CHROMOCENTER.html","GOCC_CHROMOCENTER")</f>
        <v>GOCC_CHROMOCENTER</v>
      </c>
      <c r="C4396" s="4">
        <v>17</v>
      </c>
      <c r="D4396" s="3">
        <v>0.65073429999999999</v>
      </c>
      <c r="E4396" s="1">
        <v>0.91547049999999996</v>
      </c>
      <c r="F4396" s="2">
        <v>0.986147</v>
      </c>
    </row>
    <row r="4397" spans="1:6" x14ac:dyDescent="0.25">
      <c r="A4397" t="s">
        <v>8</v>
      </c>
      <c r="B4397" s="5" t="str">
        <f>HYPERLINK("http://www.broadinstitute.org/gsea/msigdb/cards/GOMF_ACID_THIOL_LIGASE_ACTIVITY.html","GOMF_ACID_THIOL_LIGASE_ACTIVITY")</f>
        <v>GOMF_ACID_THIOL_LIGASE_ACTIVITY</v>
      </c>
      <c r="C4397" s="4">
        <v>28</v>
      </c>
      <c r="D4397" s="3">
        <v>0.65030659999999996</v>
      </c>
      <c r="E4397" s="1">
        <v>0.94700854999999995</v>
      </c>
      <c r="F4397" s="2">
        <v>0.98612010000000005</v>
      </c>
    </row>
    <row r="4398" spans="1:6" x14ac:dyDescent="0.25">
      <c r="A4398" t="s">
        <v>10</v>
      </c>
      <c r="B4398" s="5" t="str">
        <f>HYPERLINK("http://www.broadinstitute.org/gsea/msigdb/cards/REACTOME_METABOLISM_OF_STEROIDS.html","REACTOME_METABOLISM_OF_STEROIDS")</f>
        <v>REACTOME_METABOLISM_OF_STEROIDS</v>
      </c>
      <c r="C4398" s="4">
        <v>115</v>
      </c>
      <c r="D4398" s="3">
        <v>0.64984953000000001</v>
      </c>
      <c r="E4398" s="1">
        <v>0.99224805999999999</v>
      </c>
      <c r="F4398" s="2">
        <v>0.98610240000000005</v>
      </c>
    </row>
    <row r="4399" spans="1:6" x14ac:dyDescent="0.25">
      <c r="A4399" t="s">
        <v>8</v>
      </c>
      <c r="B4399" s="5" t="str">
        <f>HYPERLINK("http://www.broadinstitute.org/gsea/msigdb/cards/GOMF_CYCLIC_NUCLEOTIDE_BINDING.html","GOMF_CYCLIC_NUCLEOTIDE_BINDING")</f>
        <v>GOMF_CYCLIC_NUCLEOTIDE_BINDING</v>
      </c>
      <c r="C4399" s="4">
        <v>37</v>
      </c>
      <c r="D4399" s="3">
        <v>0.64915440000000002</v>
      </c>
      <c r="E4399" s="1">
        <v>0.96581196999999996</v>
      </c>
      <c r="F4399" s="2">
        <v>0.98620229999999998</v>
      </c>
    </row>
    <row r="4400" spans="1:6" x14ac:dyDescent="0.25">
      <c r="A4400" t="s">
        <v>6</v>
      </c>
      <c r="B4400" s="5" t="str">
        <f>HYPERLINK("http://www.broadinstitute.org/gsea/msigdb/cards/GOBP_MITOCHONDRIAL_FUSION.html","GOBP_MITOCHONDRIAL_FUSION")</f>
        <v>GOBP_MITOCHONDRIAL_FUSION</v>
      </c>
      <c r="C4400" s="4">
        <v>35</v>
      </c>
      <c r="D4400" s="3">
        <v>0.64888599999999996</v>
      </c>
      <c r="E4400" s="1">
        <v>0.96379309999999996</v>
      </c>
      <c r="F4400" s="2">
        <v>0.98609789999999997</v>
      </c>
    </row>
    <row r="4401" spans="1:6" x14ac:dyDescent="0.25">
      <c r="A4401" t="s">
        <v>6</v>
      </c>
      <c r="B4401" s="5" t="str">
        <f>HYPERLINK("http://www.broadinstitute.org/gsea/msigdb/cards/GOBP_DNA_DAMAGE_RESPONSE_SIGNAL_TRANSDUCTION_BY_P53_CLASS_MEDIATOR.html","GOBP_DNA_DAMAGE_RESPONSE_SIGNAL_TRANSDUCTION_BY_P53_CLASS_MEDIATOR")</f>
        <v>GOBP_DNA_DAMAGE_RESPONSE_SIGNAL_TRANSDUCTION_BY_P53_CLASS_MEDIATOR</v>
      </c>
      <c r="C4401" s="4">
        <v>68</v>
      </c>
      <c r="D4401" s="3">
        <v>0.64860209999999996</v>
      </c>
      <c r="E4401" s="1">
        <v>0.9870968</v>
      </c>
      <c r="F4401" s="2">
        <v>0.98601000000000005</v>
      </c>
    </row>
    <row r="4402" spans="1:6" x14ac:dyDescent="0.25">
      <c r="A4402" t="s">
        <v>6</v>
      </c>
      <c r="B4402" s="5" t="str">
        <f>HYPERLINK("http://www.broadinstitute.org/gsea/msigdb/cards/GOBP_RESPONSE_TO_MITOCHONDRIAL_DEPOLARISATION.html","GOBP_RESPONSE_TO_MITOCHONDRIAL_DEPOLARISATION")</f>
        <v>GOBP_RESPONSE_TO_MITOCHONDRIAL_DEPOLARISATION</v>
      </c>
      <c r="C4402" s="4">
        <v>23</v>
      </c>
      <c r="D4402" s="3">
        <v>0.64540799999999998</v>
      </c>
      <c r="E4402" s="1">
        <v>0.93532336000000005</v>
      </c>
      <c r="F4402" s="2">
        <v>0.98721979999999998</v>
      </c>
    </row>
    <row r="4403" spans="1:6" x14ac:dyDescent="0.25">
      <c r="A4403" t="s">
        <v>6</v>
      </c>
      <c r="B4403" s="5" t="str">
        <f>HYPERLINK("http://www.broadinstitute.org/gsea/msigdb/cards/GOBP_MICROTUBULE_CYTOSKELETON_ORGANIZATION_INVOLVED_IN_MITOSIS.html","GOBP_MICROTUBULE_CYTOSKELETON_ORGANIZATION_INVOLVED_IN_MITOSIS")</f>
        <v>GOBP_MICROTUBULE_CYTOSKELETON_ORGANIZATION_INVOLVED_IN_MITOSIS</v>
      </c>
      <c r="C4403" s="4">
        <v>158</v>
      </c>
      <c r="D4403" s="3">
        <v>0.64345200000000002</v>
      </c>
      <c r="E4403" s="1">
        <v>0.99857549999999995</v>
      </c>
      <c r="F4403" s="2">
        <v>0.98786010000000002</v>
      </c>
    </row>
    <row r="4404" spans="1:6" x14ac:dyDescent="0.25">
      <c r="A4404" t="s">
        <v>6</v>
      </c>
      <c r="B4404" s="5" t="str">
        <f>HYPERLINK("http://www.broadinstitute.org/gsea/msigdb/cards/GOBP_REGULATION_OF_LIPOPROTEIN_LIPASE_ACTIVITY.html","GOBP_REGULATION_OF_LIPOPROTEIN_LIPASE_ACTIVITY")</f>
        <v>GOBP_REGULATION_OF_LIPOPROTEIN_LIPASE_ACTIVITY</v>
      </c>
      <c r="C4404" s="4">
        <v>15</v>
      </c>
      <c r="D4404" s="3">
        <v>0.64341459999999995</v>
      </c>
      <c r="E4404" s="1">
        <v>0.94244605000000004</v>
      </c>
      <c r="F4404" s="2">
        <v>0.98765199999999997</v>
      </c>
    </row>
    <row r="4405" spans="1:6" x14ac:dyDescent="0.25">
      <c r="A4405" t="s">
        <v>6</v>
      </c>
      <c r="B4405" s="5" t="str">
        <f>HYPERLINK("http://www.broadinstitute.org/gsea/msigdb/cards/GOBP_MRNA_MODIFICATION.html","GOBP_MRNA_MODIFICATION")</f>
        <v>GOBP_MRNA_MODIFICATION</v>
      </c>
      <c r="C4405" s="4">
        <v>37</v>
      </c>
      <c r="D4405" s="3">
        <v>0.64253400000000005</v>
      </c>
      <c r="E4405" s="1">
        <v>0.95588240000000002</v>
      </c>
      <c r="F4405" s="2">
        <v>0.9878093</v>
      </c>
    </row>
    <row r="4406" spans="1:6" x14ac:dyDescent="0.25">
      <c r="A4406" t="s">
        <v>7</v>
      </c>
      <c r="B4406" s="5" t="str">
        <f>HYPERLINK("http://www.broadinstitute.org/gsea/msigdb/cards/GOCC_SPINDLE_POLE_CENTROSOME.html","GOCC_SPINDLE_POLE_CENTROSOME")</f>
        <v>GOCC_SPINDLE_POLE_CENTROSOME</v>
      </c>
      <c r="C4406" s="4">
        <v>19</v>
      </c>
      <c r="D4406" s="3">
        <v>0.64231269999999996</v>
      </c>
      <c r="E4406" s="1">
        <v>0.93453354</v>
      </c>
      <c r="F4406" s="2">
        <v>0.98768275999999999</v>
      </c>
    </row>
    <row r="4407" spans="1:6" x14ac:dyDescent="0.25">
      <c r="A4407" t="s">
        <v>10</v>
      </c>
      <c r="B4407" s="5" t="str">
        <f>HYPERLINK("http://www.broadinstitute.org/gsea/msigdb/cards/REACTOME_ONCOGENE_INDUCED_SENESCENCE.html","REACTOME_ONCOGENE_INDUCED_SENESCENCE")</f>
        <v>REACTOME_ONCOGENE_INDUCED_SENESCENCE</v>
      </c>
      <c r="C4407" s="4">
        <v>16</v>
      </c>
      <c r="D4407" s="3">
        <v>0.64205290000000004</v>
      </c>
      <c r="E4407" s="1">
        <v>0.94054055000000003</v>
      </c>
      <c r="F4407" s="2">
        <v>0.9875621</v>
      </c>
    </row>
    <row r="4408" spans="1:6" x14ac:dyDescent="0.25">
      <c r="A4408" t="s">
        <v>6</v>
      </c>
      <c r="B4408" s="5" t="str">
        <f>HYPERLINK("http://www.broadinstitute.org/gsea/msigdb/cards/GOBP_MITOTIC_G2_DNA_DAMAGE_CHECKPOINT_SIGNALING.html","GOBP_MITOTIC_G2_DNA_DAMAGE_CHECKPOINT_SIGNALING")</f>
        <v>GOBP_MITOTIC_G2_DNA_DAMAGE_CHECKPOINT_SIGNALING</v>
      </c>
      <c r="C4408" s="4">
        <v>39</v>
      </c>
      <c r="D4408" s="3">
        <v>0.64144950000000001</v>
      </c>
      <c r="E4408" s="1">
        <v>0.97188050000000004</v>
      </c>
      <c r="F4408" s="2">
        <v>0.98758935999999997</v>
      </c>
    </row>
    <row r="4409" spans="1:6" x14ac:dyDescent="0.25">
      <c r="A4409" t="s">
        <v>6</v>
      </c>
      <c r="B4409" s="5" t="str">
        <f>HYPERLINK("http://www.broadinstitute.org/gsea/msigdb/cards/GOBP_THIOESTER_BIOSYNTHETIC_PROCESS.html","GOBP_THIOESTER_BIOSYNTHETIC_PROCESS")</f>
        <v>GOBP_THIOESTER_BIOSYNTHETIC_PROCESS</v>
      </c>
      <c r="C4409" s="4">
        <v>27</v>
      </c>
      <c r="D4409" s="3">
        <v>0.63901479999999999</v>
      </c>
      <c r="E4409" s="1">
        <v>0.94701990000000003</v>
      </c>
      <c r="F4409" s="2">
        <v>0.98838239999999999</v>
      </c>
    </row>
    <row r="4410" spans="1:6" x14ac:dyDescent="0.25">
      <c r="A4410" t="s">
        <v>5</v>
      </c>
      <c r="B4410" s="5" t="str">
        <f>HYPERLINK("http://www.broadinstitute.org/gsea/msigdb/cards/BIOCARTA_CALCINEURIN_PATHWAY.html","BIOCARTA_CALCINEURIN_PATHWAY")</f>
        <v>BIOCARTA_CALCINEURIN_PATHWAY</v>
      </c>
      <c r="C4410" s="4">
        <v>17</v>
      </c>
      <c r="D4410" s="3">
        <v>0.63823719999999995</v>
      </c>
      <c r="E4410" s="1">
        <v>0.93675213999999996</v>
      </c>
      <c r="F4410" s="2">
        <v>0.98847896000000002</v>
      </c>
    </row>
    <row r="4411" spans="1:6" x14ac:dyDescent="0.25">
      <c r="A4411" t="s">
        <v>6</v>
      </c>
      <c r="B4411" s="5" t="str">
        <f>HYPERLINK("http://www.broadinstitute.org/gsea/msigdb/cards/GOBP_POSITIVE_REGULATION_OF_TELOMERE_MAINTENANCE_VIA_TELOMERE_LENGTHENING.html","GOBP_POSITIVE_REGULATION_OF_TELOMERE_MAINTENANCE_VIA_TELOMERE_LENGTHENING")</f>
        <v>GOBP_POSITIVE_REGULATION_OF_TELOMERE_MAINTENANCE_VIA_TELOMERE_LENGTHENING</v>
      </c>
      <c r="C4411" s="4">
        <v>36</v>
      </c>
      <c r="D4411" s="3">
        <v>0.63781299999999996</v>
      </c>
      <c r="E4411" s="1">
        <v>0.96795949999999997</v>
      </c>
      <c r="F4411" s="2">
        <v>0.98842819999999998</v>
      </c>
    </row>
    <row r="4412" spans="1:6" x14ac:dyDescent="0.25">
      <c r="A4412" t="s">
        <v>8</v>
      </c>
      <c r="B4412" s="5" t="str">
        <f>HYPERLINK("http://www.broadinstitute.org/gsea/msigdb/cards/GOMF_ACYLGLYCEROL_O_ACYLTRANSFERASE_ACTIVITY.html","GOMF_ACYLGLYCEROL_O_ACYLTRANSFERASE_ACTIVITY")</f>
        <v>GOMF_ACYLGLYCEROL_O_ACYLTRANSFERASE_ACTIVITY</v>
      </c>
      <c r="C4412" s="4">
        <v>21</v>
      </c>
      <c r="D4412" s="3">
        <v>0.63722590000000001</v>
      </c>
      <c r="E4412" s="1">
        <v>0.94389440000000002</v>
      </c>
      <c r="F4412" s="2">
        <v>0.98844670000000001</v>
      </c>
    </row>
    <row r="4413" spans="1:6" x14ac:dyDescent="0.25">
      <c r="A4413" t="s">
        <v>10</v>
      </c>
      <c r="B4413" s="5" t="str">
        <f>HYPERLINK("http://www.broadinstitute.org/gsea/msigdb/cards/REACTOME_SPHINGOLIPID_DE_NOVO_BIOSYNTHESIS.html","REACTOME_SPHINGOLIPID_DE_NOVO_BIOSYNTHESIS")</f>
        <v>REACTOME_SPHINGOLIPID_DE_NOVO_BIOSYNTHESIS</v>
      </c>
      <c r="C4413" s="4">
        <v>23</v>
      </c>
      <c r="D4413" s="3">
        <v>0.63509689999999996</v>
      </c>
      <c r="E4413" s="1">
        <v>0.95957820000000005</v>
      </c>
      <c r="F4413" s="2">
        <v>0.98906654000000005</v>
      </c>
    </row>
    <row r="4414" spans="1:6" x14ac:dyDescent="0.25">
      <c r="A4414" t="s">
        <v>6</v>
      </c>
      <c r="B4414" s="5" t="str">
        <f>HYPERLINK("http://www.broadinstitute.org/gsea/msigdb/cards/GOBP_NEGATIVE_REGULATION_OF_CHOLESTEROL_STORAGE.html","GOBP_NEGATIVE_REGULATION_OF_CHOLESTEROL_STORAGE")</f>
        <v>GOBP_NEGATIVE_REGULATION_OF_CHOLESTEROL_STORAGE</v>
      </c>
      <c r="C4414" s="4">
        <v>15</v>
      </c>
      <c r="D4414" s="3">
        <v>0.63287599999999999</v>
      </c>
      <c r="E4414" s="1">
        <v>0.93459550000000002</v>
      </c>
      <c r="F4414" s="2">
        <v>0.98970305999999997</v>
      </c>
    </row>
    <row r="4415" spans="1:6" x14ac:dyDescent="0.25">
      <c r="A4415" t="s">
        <v>6</v>
      </c>
      <c r="B4415" s="5" t="str">
        <f>HYPERLINK("http://www.broadinstitute.org/gsea/msigdb/cards/GOBP_RESPONSE_TO_GONADOTROPIN.html","GOBP_RESPONSE_TO_GONADOTROPIN")</f>
        <v>GOBP_RESPONSE_TO_GONADOTROPIN</v>
      </c>
      <c r="C4415" s="4">
        <v>18</v>
      </c>
      <c r="D4415" s="3">
        <v>0.63143199999999999</v>
      </c>
      <c r="E4415" s="1">
        <v>0.9408784</v>
      </c>
      <c r="F4415" s="2">
        <v>0.99002904000000003</v>
      </c>
    </row>
    <row r="4416" spans="1:6" x14ac:dyDescent="0.25">
      <c r="A4416" t="s">
        <v>6</v>
      </c>
      <c r="B4416" s="5" t="str">
        <f>HYPERLINK("http://www.broadinstitute.org/gsea/msigdb/cards/GOBP_REGULATION_OF_DNA_DAMAGE_RESPONSE_SIGNAL_TRANSDUCTION_BY_P53_CLASS_MEDIATOR.html","GOBP_REGULATION_OF_DNA_DAMAGE_RESPONSE_SIGNAL_TRANSDUCTION_BY_P53_CLASS_MEDIATOR")</f>
        <v>GOBP_REGULATION_OF_DNA_DAMAGE_RESPONSE_SIGNAL_TRANSDUCTION_BY_P53_CLASS_MEDIATOR</v>
      </c>
      <c r="C4416" s="4">
        <v>37</v>
      </c>
      <c r="D4416" s="3">
        <v>0.63122959999999995</v>
      </c>
      <c r="E4416" s="1">
        <v>0.96885246000000003</v>
      </c>
      <c r="F4416" s="2">
        <v>0.98988039999999999</v>
      </c>
    </row>
    <row r="4417" spans="1:6" x14ac:dyDescent="0.25">
      <c r="A4417" t="s">
        <v>6</v>
      </c>
      <c r="B4417" s="5" t="str">
        <f>HYPERLINK("http://www.broadinstitute.org/gsea/msigdb/cards/GOBP_PHOSPHATIDYLINOSITOL_BIOSYNTHETIC_PROCESS.html","GOBP_PHOSPHATIDYLINOSITOL_BIOSYNTHETIC_PROCESS")</f>
        <v>GOBP_PHOSPHATIDYLINOSITOL_BIOSYNTHETIC_PROCESS</v>
      </c>
      <c r="C4417" s="4">
        <v>102</v>
      </c>
      <c r="D4417" s="3">
        <v>0.62789165999999996</v>
      </c>
      <c r="E4417" s="1">
        <v>0.99546140000000005</v>
      </c>
      <c r="F4417" s="2">
        <v>0.99090460000000002</v>
      </c>
    </row>
    <row r="4418" spans="1:6" x14ac:dyDescent="0.25">
      <c r="A4418" t="s">
        <v>7</v>
      </c>
      <c r="B4418" s="5" t="str">
        <f>HYPERLINK("http://www.broadinstitute.org/gsea/msigdb/cards/GOCC_ATPASE_DEPENDENT_TRANSMEMBRANE_TRANSPORT_COMPLEX.html","GOCC_ATPASE_DEPENDENT_TRANSMEMBRANE_TRANSPORT_COMPLEX")</f>
        <v>GOCC_ATPASE_DEPENDENT_TRANSMEMBRANE_TRANSPORT_COMPLEX</v>
      </c>
      <c r="C4418" s="4">
        <v>16</v>
      </c>
      <c r="D4418" s="3">
        <v>0.62714665999999997</v>
      </c>
      <c r="E4418" s="1">
        <v>0.95271455999999999</v>
      </c>
      <c r="F4418" s="2">
        <v>0.99095409999999995</v>
      </c>
    </row>
    <row r="4419" spans="1:6" x14ac:dyDescent="0.25">
      <c r="A4419" t="s">
        <v>8</v>
      </c>
      <c r="B4419" s="5" t="str">
        <f>HYPERLINK("http://www.broadinstitute.org/gsea/msigdb/cards/GOMF_STEROID_DEHYDROGENASE_ACTIVITY.html","GOMF_STEROID_DEHYDROGENASE_ACTIVITY")</f>
        <v>GOMF_STEROID_DEHYDROGENASE_ACTIVITY</v>
      </c>
      <c r="C4419" s="4">
        <v>43</v>
      </c>
      <c r="D4419" s="3">
        <v>0.62432310000000002</v>
      </c>
      <c r="E4419" s="1">
        <v>0.97385619999999995</v>
      </c>
      <c r="F4419" s="2">
        <v>0.99173783999999998</v>
      </c>
    </row>
    <row r="4420" spans="1:6" x14ac:dyDescent="0.25">
      <c r="A4420" t="s">
        <v>10</v>
      </c>
      <c r="B4420" s="5" t="str">
        <f>HYPERLINK("http://www.broadinstitute.org/gsea/msigdb/cards/REACTOME_FGFR1_LIGAND_BINDING_AND_ACTIVATION.html","REACTOME_FGFR1_LIGAND_BINDING_AND_ACTIVATION")</f>
        <v>REACTOME_FGFR1_LIGAND_BINDING_AND_ACTIVATION</v>
      </c>
      <c r="C4420" s="4">
        <v>17</v>
      </c>
      <c r="D4420" s="3">
        <v>0.62393949999999998</v>
      </c>
      <c r="E4420" s="1">
        <v>0.94520545</v>
      </c>
      <c r="F4420" s="2">
        <v>0.99163776999999997</v>
      </c>
    </row>
    <row r="4421" spans="1:6" x14ac:dyDescent="0.25">
      <c r="A4421" t="s">
        <v>8</v>
      </c>
      <c r="B4421" s="5" t="str">
        <f>HYPERLINK("http://www.broadinstitute.org/gsea/msigdb/cards/GOMF_COA_HYDROLASE_ACTIVITY.html","GOMF_COA_HYDROLASE_ACTIVITY")</f>
        <v>GOMF_COA_HYDROLASE_ACTIVITY</v>
      </c>
      <c r="C4421" s="4">
        <v>29</v>
      </c>
      <c r="D4421" s="3">
        <v>0.62369704000000004</v>
      </c>
      <c r="E4421" s="1">
        <v>0.96140349999999997</v>
      </c>
      <c r="F4421" s="2">
        <v>0.99149949999999998</v>
      </c>
    </row>
    <row r="4422" spans="1:6" x14ac:dyDescent="0.25">
      <c r="A4422" t="s">
        <v>6</v>
      </c>
      <c r="B4422" s="5" t="str">
        <f>HYPERLINK("http://www.broadinstitute.org/gsea/msigdb/cards/GOBP_FATTY_ACID_HOMEOSTASIS.html","GOBP_FATTY_ACID_HOMEOSTASIS")</f>
        <v>GOBP_FATTY_ACID_HOMEOSTASIS</v>
      </c>
      <c r="C4422" s="4">
        <v>15</v>
      </c>
      <c r="D4422" s="3">
        <v>0.62128996999999997</v>
      </c>
      <c r="E4422" s="1">
        <v>0.93485916000000002</v>
      </c>
      <c r="F4422" s="2">
        <v>0.99205670000000001</v>
      </c>
    </row>
    <row r="4423" spans="1:6" x14ac:dyDescent="0.25">
      <c r="A4423" t="s">
        <v>7</v>
      </c>
      <c r="B4423" s="5" t="str">
        <f>HYPERLINK("http://www.broadinstitute.org/gsea/msigdb/cards/GOCC_DYSTROPHIN_ASSOCIATED_GLYCOPROTEIN_COMPLEX.html","GOCC_DYSTROPHIN_ASSOCIATED_GLYCOPROTEIN_COMPLEX")</f>
        <v>GOCC_DYSTROPHIN_ASSOCIATED_GLYCOPROTEIN_COMPLEX</v>
      </c>
      <c r="C4423" s="4">
        <v>19</v>
      </c>
      <c r="D4423" s="3">
        <v>0.61878544000000002</v>
      </c>
      <c r="E4423" s="1">
        <v>0.95221840000000002</v>
      </c>
      <c r="F4423" s="2">
        <v>0.99268679999999998</v>
      </c>
    </row>
    <row r="4424" spans="1:6" x14ac:dyDescent="0.25">
      <c r="A4424" t="s">
        <v>6</v>
      </c>
      <c r="B4424" s="5" t="str">
        <f>HYPERLINK("http://www.broadinstitute.org/gsea/msigdb/cards/GOBP_POSITIVE_REGULATION_OF_NEUROTRANSMITTER_SECRETION.html","GOBP_POSITIVE_REGULATION_OF_NEUROTRANSMITTER_SECRETION")</f>
        <v>GOBP_POSITIVE_REGULATION_OF_NEUROTRANSMITTER_SECRETION</v>
      </c>
      <c r="C4424" s="4">
        <v>24</v>
      </c>
      <c r="D4424" s="3">
        <v>0.61776710000000001</v>
      </c>
      <c r="E4424" s="1">
        <v>0.94923860000000004</v>
      </c>
      <c r="F4424" s="2">
        <v>0.99279229999999996</v>
      </c>
    </row>
    <row r="4425" spans="1:6" x14ac:dyDescent="0.25">
      <c r="A4425" t="s">
        <v>8</v>
      </c>
      <c r="B4425" s="5" t="str">
        <f>HYPERLINK("http://www.broadinstitute.org/gsea/msigdb/cards/GOMF_PHOSPHATIDYLCHOLINE_BINDING.html","GOMF_PHOSPHATIDYLCHOLINE_BINDING")</f>
        <v>GOMF_PHOSPHATIDYLCHOLINE_BINDING</v>
      </c>
      <c r="C4425" s="4">
        <v>28</v>
      </c>
      <c r="D4425" s="3">
        <v>0.61671500000000001</v>
      </c>
      <c r="E4425" s="1">
        <v>0.97319929999999999</v>
      </c>
      <c r="F4425" s="2">
        <v>0.99291189999999996</v>
      </c>
    </row>
    <row r="4426" spans="1:6" x14ac:dyDescent="0.25">
      <c r="A4426" t="s">
        <v>6</v>
      </c>
      <c r="B4426" s="5" t="str">
        <f>HYPERLINK("http://www.broadinstitute.org/gsea/msigdb/cards/GOBP_CEREBROSPINAL_FLUID_CIRCULATION.html","GOBP_CEREBROSPINAL_FLUID_CIRCULATION")</f>
        <v>GOBP_CEREBROSPINAL_FLUID_CIRCULATION</v>
      </c>
      <c r="C4426" s="4">
        <v>18</v>
      </c>
      <c r="D4426" s="3">
        <v>0.61611380000000004</v>
      </c>
      <c r="E4426" s="1">
        <v>0.95540309999999995</v>
      </c>
      <c r="F4426" s="2">
        <v>0.99286914000000004</v>
      </c>
    </row>
    <row r="4427" spans="1:6" x14ac:dyDescent="0.25">
      <c r="A4427" t="s">
        <v>10</v>
      </c>
      <c r="B4427" s="5" t="str">
        <f>HYPERLINK("http://www.broadinstitute.org/gsea/msigdb/cards/REACTOME_SHC_MEDIATED_CASCADE_FGFR4.html","REACTOME_SHC_MEDIATED_CASCADE_FGFR4")</f>
        <v>REACTOME_SHC_MEDIATED_CASCADE_FGFR4</v>
      </c>
      <c r="C4427" s="4">
        <v>19</v>
      </c>
      <c r="D4427" s="3">
        <v>0.61348057</v>
      </c>
      <c r="E4427" s="1">
        <v>0.94809690000000002</v>
      </c>
      <c r="F4427" s="2">
        <v>0.99348099999999995</v>
      </c>
    </row>
    <row r="4428" spans="1:6" x14ac:dyDescent="0.25">
      <c r="A4428" t="s">
        <v>8</v>
      </c>
      <c r="B4428" s="5" t="str">
        <f>HYPERLINK("http://www.broadinstitute.org/gsea/msigdb/cards/GOMF_SINGLE_STRANDED_DNA_HELICASE_ACTIVITY.html","GOMF_SINGLE_STRANDED_DNA_HELICASE_ACTIVITY")</f>
        <v>GOMF_SINGLE_STRANDED_DNA_HELICASE_ACTIVITY</v>
      </c>
      <c r="C4428" s="4">
        <v>23</v>
      </c>
      <c r="D4428" s="3">
        <v>0.61290750000000005</v>
      </c>
      <c r="E4428" s="1">
        <v>0.96160559999999995</v>
      </c>
      <c r="F4428" s="2">
        <v>0.99342470000000005</v>
      </c>
    </row>
    <row r="4429" spans="1:6" x14ac:dyDescent="0.25">
      <c r="A4429" t="s">
        <v>6</v>
      </c>
      <c r="B4429" s="5" t="str">
        <f>HYPERLINK("http://www.broadinstitute.org/gsea/msigdb/cards/GOBP_XENOBIOTIC_METABOLIC_PROCESS.html","GOBP_XENOBIOTIC_METABOLIC_PROCESS")</f>
        <v>GOBP_XENOBIOTIC_METABOLIC_PROCESS</v>
      </c>
      <c r="C4429" s="4">
        <v>104</v>
      </c>
      <c r="D4429" s="3">
        <v>0.61217200000000005</v>
      </c>
      <c r="E4429" s="1">
        <v>0.99846625</v>
      </c>
      <c r="F4429" s="2">
        <v>0.99342980000000003</v>
      </c>
    </row>
    <row r="4430" spans="1:6" x14ac:dyDescent="0.25">
      <c r="A4430" t="s">
        <v>11</v>
      </c>
      <c r="B4430" s="5" t="str">
        <f>HYPERLINK("http://www.broadinstitute.org/gsea/msigdb/cards/WP_MITOCHONDRIAL_LONG_CHAIN_FATTY_ACID_BETA_OXIDATION.html","WP_MITOCHONDRIAL_LONG_CHAIN_FATTY_ACID_BETA_OXIDATION")</f>
        <v>WP_MITOCHONDRIAL_LONG_CHAIN_FATTY_ACID_BETA_OXIDATION</v>
      </c>
      <c r="C4430" s="4">
        <v>16</v>
      </c>
      <c r="D4430" s="3">
        <v>0.61106640000000001</v>
      </c>
      <c r="E4430" s="1">
        <v>0.94416239999999996</v>
      </c>
      <c r="F4430" s="2">
        <v>0.99355053999999998</v>
      </c>
    </row>
    <row r="4431" spans="1:6" x14ac:dyDescent="0.25">
      <c r="A4431" t="s">
        <v>6</v>
      </c>
      <c r="B4431" s="5" t="str">
        <f>HYPERLINK("http://www.broadinstitute.org/gsea/msigdb/cards/GOBP_C4_DICARBOXYLATE_TRANSPORT.html","GOBP_C4_DICARBOXYLATE_TRANSPORT")</f>
        <v>GOBP_C4_DICARBOXYLATE_TRANSPORT</v>
      </c>
      <c r="C4431" s="4">
        <v>28</v>
      </c>
      <c r="D4431" s="3">
        <v>0.6074543</v>
      </c>
      <c r="E4431" s="1">
        <v>0.98487395</v>
      </c>
      <c r="F4431" s="2">
        <v>0.99435322999999998</v>
      </c>
    </row>
    <row r="4432" spans="1:6" x14ac:dyDescent="0.25">
      <c r="A4432" t="s">
        <v>6</v>
      </c>
      <c r="B4432" s="5" t="str">
        <f>HYPERLINK("http://www.broadinstitute.org/gsea/msigdb/cards/GOBP_HEPATIC_STELLATE_CELL_ACTIVATION.html","GOBP_HEPATIC_STELLATE_CELL_ACTIVATION")</f>
        <v>GOBP_HEPATIC_STELLATE_CELL_ACTIVATION</v>
      </c>
      <c r="C4432" s="4">
        <v>15</v>
      </c>
      <c r="D4432" s="3">
        <v>0.60396229999999995</v>
      </c>
      <c r="E4432" s="1">
        <v>0.93770489999999995</v>
      </c>
      <c r="F4432" s="2">
        <v>0.99510920000000003</v>
      </c>
    </row>
    <row r="4433" spans="1:6" x14ac:dyDescent="0.25">
      <c r="A4433" t="s">
        <v>8</v>
      </c>
      <c r="B4433" s="5" t="str">
        <f>HYPERLINK("http://www.broadinstitute.org/gsea/msigdb/cards/GOMF_RNA_POLYMERASE_II_GENERAL_TRANSCRIPTION_INITIATION_FACTOR_ACTIVITY.html","GOMF_RNA_POLYMERASE_II_GENERAL_TRANSCRIPTION_INITIATION_FACTOR_ACTIVITY")</f>
        <v>GOMF_RNA_POLYMERASE_II_GENERAL_TRANSCRIPTION_INITIATION_FACTOR_ACTIVITY</v>
      </c>
      <c r="C4433" s="4">
        <v>33</v>
      </c>
      <c r="D4433" s="3">
        <v>0.60307646000000004</v>
      </c>
      <c r="E4433" s="1">
        <v>0.98184819999999995</v>
      </c>
      <c r="F4433" s="2">
        <v>0.99513070000000003</v>
      </c>
    </row>
    <row r="4434" spans="1:6" x14ac:dyDescent="0.25">
      <c r="A4434" t="s">
        <v>6</v>
      </c>
      <c r="B4434" s="5" t="str">
        <f>HYPERLINK("http://www.broadinstitute.org/gsea/msigdb/cards/GOBP_NOREPINEPHRINE_SECRETION.html","GOBP_NOREPINEPHRINE_SECRETION")</f>
        <v>GOBP_NOREPINEPHRINE_SECRETION</v>
      </c>
      <c r="C4434" s="4">
        <v>18</v>
      </c>
      <c r="D4434" s="3">
        <v>0.60188280000000005</v>
      </c>
      <c r="E4434" s="1">
        <v>0.96</v>
      </c>
      <c r="F4434" s="2">
        <v>0.99522953999999997</v>
      </c>
    </row>
    <row r="4435" spans="1:6" x14ac:dyDescent="0.25">
      <c r="A4435" t="s">
        <v>7</v>
      </c>
      <c r="B4435" s="5" t="str">
        <f>HYPERLINK("http://www.broadinstitute.org/gsea/msigdb/cards/GOCC_STEREOCILIUM_TIP.html","GOCC_STEREOCILIUM_TIP")</f>
        <v>GOCC_STEREOCILIUM_TIP</v>
      </c>
      <c r="C4435" s="4">
        <v>21</v>
      </c>
      <c r="D4435" s="3">
        <v>0.60156673000000005</v>
      </c>
      <c r="E4435" s="1">
        <v>0.95689654000000002</v>
      </c>
      <c r="F4435" s="2">
        <v>0.99509095999999997</v>
      </c>
    </row>
    <row r="4436" spans="1:6" x14ac:dyDescent="0.25">
      <c r="A4436" t="s">
        <v>6</v>
      </c>
      <c r="B4436" s="5" t="str">
        <f>HYPERLINK("http://www.broadinstitute.org/gsea/msigdb/cards/GOBP_BILE_ACID_METABOLIC_PROCESS.html","GOBP_BILE_ACID_METABOLIC_PROCESS")</f>
        <v>GOBP_BILE_ACID_METABOLIC_PROCESS</v>
      </c>
      <c r="C4436" s="4">
        <v>45</v>
      </c>
      <c r="D4436" s="3">
        <v>0.60118693000000001</v>
      </c>
      <c r="E4436" s="1">
        <v>0.98205549999999997</v>
      </c>
      <c r="F4436" s="2">
        <v>0.99497729999999995</v>
      </c>
    </row>
    <row r="4437" spans="1:6" x14ac:dyDescent="0.25">
      <c r="A4437" t="s">
        <v>8</v>
      </c>
      <c r="B4437" s="5" t="str">
        <f>HYPERLINK("http://www.broadinstitute.org/gsea/msigdb/cards/GOMF_LIGASE_ACTIVITY_FORMING_CARBON_NITROGEN_BONDS.html","GOMF_LIGASE_ACTIVITY_FORMING_CARBON_NITROGEN_BONDS")</f>
        <v>GOMF_LIGASE_ACTIVITY_FORMING_CARBON_NITROGEN_BONDS</v>
      </c>
      <c r="C4437" s="4">
        <v>48</v>
      </c>
      <c r="D4437" s="3">
        <v>0.59977009999999997</v>
      </c>
      <c r="E4437" s="1">
        <v>0.98283929999999997</v>
      </c>
      <c r="F4437" s="2">
        <v>0.99510889999999996</v>
      </c>
    </row>
    <row r="4438" spans="1:6" x14ac:dyDescent="0.25">
      <c r="A4438" t="s">
        <v>10</v>
      </c>
      <c r="B4438" s="5" t="str">
        <f>HYPERLINK("http://www.broadinstitute.org/gsea/msigdb/cards/REACTOME_FRS_MEDIATED_FGFR4_SIGNALING.html","REACTOME_FRS_MEDIATED_FGFR4_SIGNALING")</f>
        <v>REACTOME_FRS_MEDIATED_FGFR4_SIGNALING</v>
      </c>
      <c r="C4438" s="4">
        <v>21</v>
      </c>
      <c r="D4438" s="3">
        <v>0.59884890000000002</v>
      </c>
      <c r="E4438" s="1">
        <v>0.96936935000000002</v>
      </c>
      <c r="F4438" s="2">
        <v>0.99512920000000005</v>
      </c>
    </row>
    <row r="4439" spans="1:6" x14ac:dyDescent="0.25">
      <c r="A4439" t="s">
        <v>6</v>
      </c>
      <c r="B4439" s="5" t="str">
        <f>HYPERLINK("http://www.broadinstitute.org/gsea/msigdb/cards/GOBP_CHLORIDE_TRANSMEMBRANE_TRANSPORT.html","GOBP_CHLORIDE_TRANSMEMBRANE_TRANSPORT")</f>
        <v>GOBP_CHLORIDE_TRANSMEMBRANE_TRANSPORT</v>
      </c>
      <c r="C4439" s="4">
        <v>65</v>
      </c>
      <c r="D4439" s="3">
        <v>0.59864676000000006</v>
      </c>
      <c r="E4439" s="1">
        <v>0.99524564000000004</v>
      </c>
      <c r="F4439" s="2">
        <v>0.99495834000000005</v>
      </c>
    </row>
    <row r="4440" spans="1:6" x14ac:dyDescent="0.25">
      <c r="A4440" t="s">
        <v>6</v>
      </c>
      <c r="B4440" s="5" t="str">
        <f>HYPERLINK("http://www.broadinstitute.org/gsea/msigdb/cards/GOBP_RESPONSE_TO_CAFFEINE.html","GOBP_RESPONSE_TO_CAFFEINE")</f>
        <v>GOBP_RESPONSE_TO_CAFFEINE</v>
      </c>
      <c r="C4440" s="4">
        <v>15</v>
      </c>
      <c r="D4440" s="3">
        <v>0.59784245000000003</v>
      </c>
      <c r="E4440" s="1">
        <v>0.94363635999999995</v>
      </c>
      <c r="F4440" s="2">
        <v>0.99494050000000001</v>
      </c>
    </row>
    <row r="4441" spans="1:6" x14ac:dyDescent="0.25">
      <c r="A4441" t="s">
        <v>6</v>
      </c>
      <c r="B4441" s="5" t="str">
        <f>HYPERLINK("http://www.broadinstitute.org/gsea/msigdb/cards/GOBP_CENTROMERE_COMPLEX_ASSEMBLY.html","GOBP_CENTROMERE_COMPLEX_ASSEMBLY")</f>
        <v>GOBP_CENTROMERE_COMPLEX_ASSEMBLY</v>
      </c>
      <c r="C4441" s="4">
        <v>26</v>
      </c>
      <c r="D4441" s="3">
        <v>0.59747729999999999</v>
      </c>
      <c r="E4441" s="1">
        <v>0.96774190000000004</v>
      </c>
      <c r="F4441" s="2">
        <v>0.99481549999999996</v>
      </c>
    </row>
    <row r="4442" spans="1:6" x14ac:dyDescent="0.25">
      <c r="A4442" t="s">
        <v>10</v>
      </c>
      <c r="B4442" s="5" t="str">
        <f>HYPERLINK("http://www.broadinstitute.org/gsea/msigdb/cards/REACTOME_RESOLUTION_OF_SISTER_CHROMATID_COHESION.html","REACTOME_RESOLUTION_OF_SISTER_CHROMATID_COHESION")</f>
        <v>REACTOME_RESOLUTION_OF_SISTER_CHROMATID_COHESION</v>
      </c>
      <c r="C4442" s="4">
        <v>120</v>
      </c>
      <c r="D4442" s="3">
        <v>0.59536670000000003</v>
      </c>
      <c r="E4442" s="1">
        <v>1</v>
      </c>
      <c r="F4442" s="2">
        <v>0.99510569999999998</v>
      </c>
    </row>
    <row r="4443" spans="1:6" x14ac:dyDescent="0.25">
      <c r="A4443" t="s">
        <v>6</v>
      </c>
      <c r="B4443" s="5" t="str">
        <f>HYPERLINK("http://www.broadinstitute.org/gsea/msigdb/cards/GOBP_NOREPINEPHRINE_TRANSPORT.html","GOBP_NOREPINEPHRINE_TRANSPORT")</f>
        <v>GOBP_NOREPINEPHRINE_TRANSPORT</v>
      </c>
      <c r="C4443" s="4">
        <v>28</v>
      </c>
      <c r="D4443" s="3">
        <v>0.59152364999999996</v>
      </c>
      <c r="E4443" s="1">
        <v>0.97565215999999999</v>
      </c>
      <c r="F4443" s="2">
        <v>0.99579923999999997</v>
      </c>
    </row>
    <row r="4444" spans="1:6" x14ac:dyDescent="0.25">
      <c r="A4444" t="s">
        <v>6</v>
      </c>
      <c r="B4444" s="5" t="str">
        <f>HYPERLINK("http://www.broadinstitute.org/gsea/msigdb/cards/GOBP_MITOCHONDRIAL_RNA_PROCESSING.html","GOBP_MITOCHONDRIAL_RNA_PROCESSING")</f>
        <v>GOBP_MITOCHONDRIAL_RNA_PROCESSING</v>
      </c>
      <c r="C4444" s="4">
        <v>19</v>
      </c>
      <c r="D4444" s="3">
        <v>0.59045446000000001</v>
      </c>
      <c r="E4444" s="1">
        <v>0.97345130000000002</v>
      </c>
      <c r="F4444" s="2">
        <v>0.99583023999999998</v>
      </c>
    </row>
    <row r="4445" spans="1:6" x14ac:dyDescent="0.25">
      <c r="A4445" t="s">
        <v>7</v>
      </c>
      <c r="B4445" s="5" t="str">
        <f>HYPERLINK("http://www.broadinstitute.org/gsea/msigdb/cards/GOCC_SCF_UBIQUITIN_LIGASE_COMPLEX.html","GOCC_SCF_UBIQUITIN_LIGASE_COMPLEX")</f>
        <v>GOCC_SCF_UBIQUITIN_LIGASE_COMPLEX</v>
      </c>
      <c r="C4445" s="4">
        <v>69</v>
      </c>
      <c r="D4445" s="3">
        <v>0.59038749999999995</v>
      </c>
      <c r="E4445" s="1">
        <v>0.99682033000000003</v>
      </c>
      <c r="F4445" s="2">
        <v>0.99562293000000002</v>
      </c>
    </row>
    <row r="4446" spans="1:6" x14ac:dyDescent="0.25">
      <c r="A4446" t="s">
        <v>10</v>
      </c>
      <c r="B4446" s="5" t="str">
        <f>HYPERLINK("http://www.broadinstitute.org/gsea/msigdb/cards/REACTOME_TRANSLESION_SYNTHESIS_BY_Y_FAMILY_DNA_POLYMERASES_BYPASSES_LESIONS_ON_DNA_TEMPLATE.html","REACTOME_TRANSLESION_SYNTHESIS_BY_Y_FAMILY_DNA_POLYMERASES_BYPASSES_LESIONS_ON_DNA_TEMPLATE")</f>
        <v>REACTOME_TRANSLESION_SYNTHESIS_BY_Y_FAMILY_DNA_POLYMERASES_BYPASSES_LESIONS_ON_DNA_TEMPLATE</v>
      </c>
      <c r="C4446" s="4">
        <v>38</v>
      </c>
      <c r="D4446" s="3">
        <v>0.59026444</v>
      </c>
      <c r="E4446" s="1">
        <v>0.9915254</v>
      </c>
      <c r="F4446" s="2">
        <v>0.99542295999999997</v>
      </c>
    </row>
    <row r="4447" spans="1:6" x14ac:dyDescent="0.25">
      <c r="A4447" t="s">
        <v>6</v>
      </c>
      <c r="B4447" s="5" t="str">
        <f>HYPERLINK("http://www.broadinstitute.org/gsea/msigdb/cards/GOBP_RESOLUTION_OF_MEIOTIC_RECOMBINATION_INTERMEDIATES.html","GOBP_RESOLUTION_OF_MEIOTIC_RECOMBINATION_INTERMEDIATES")</f>
        <v>GOBP_RESOLUTION_OF_MEIOTIC_RECOMBINATION_INTERMEDIATES</v>
      </c>
      <c r="C4447" s="4">
        <v>17</v>
      </c>
      <c r="D4447" s="3">
        <v>0.59003649999999996</v>
      </c>
      <c r="E4447" s="1">
        <v>0.96153843000000006</v>
      </c>
      <c r="F4447" s="2">
        <v>0.99524813999999995</v>
      </c>
    </row>
    <row r="4448" spans="1:6" x14ac:dyDescent="0.25">
      <c r="A4448" t="s">
        <v>10</v>
      </c>
      <c r="B4448" s="5" t="str">
        <f>HYPERLINK("http://www.broadinstitute.org/gsea/msigdb/cards/REACTOME_ACTIVATION_OF_NMDA_RECEPTORS_AND_POSTSYNAPTIC_EVENTS.html","REACTOME_ACTIVATION_OF_NMDA_RECEPTORS_AND_POSTSYNAPTIC_EVENTS")</f>
        <v>REACTOME_ACTIVATION_OF_NMDA_RECEPTORS_AND_POSTSYNAPTIC_EVENTS</v>
      </c>
      <c r="C4448" s="4">
        <v>36</v>
      </c>
      <c r="D4448" s="3">
        <v>0.58977639999999998</v>
      </c>
      <c r="E4448" s="1">
        <v>0.97840530000000003</v>
      </c>
      <c r="F4448" s="2">
        <v>0.99508554000000005</v>
      </c>
    </row>
    <row r="4449" spans="1:6" x14ac:dyDescent="0.25">
      <c r="A4449" t="s">
        <v>10</v>
      </c>
      <c r="B4449" s="5" t="str">
        <f>HYPERLINK("http://www.broadinstitute.org/gsea/msigdb/cards/REACTOME_GLYCOGEN_METABOLISM.html","REACTOME_GLYCOGEN_METABOLISM")</f>
        <v>REACTOME_GLYCOGEN_METABOLISM</v>
      </c>
      <c r="C4449" s="4">
        <v>18</v>
      </c>
      <c r="D4449" s="3">
        <v>0.58860849999999998</v>
      </c>
      <c r="E4449" s="1">
        <v>0.96243290000000004</v>
      </c>
      <c r="F4449" s="2">
        <v>0.9951023</v>
      </c>
    </row>
    <row r="4450" spans="1:6" x14ac:dyDescent="0.25">
      <c r="A4450" t="s">
        <v>6</v>
      </c>
      <c r="B4450" s="5" t="str">
        <f>HYPERLINK("http://www.broadinstitute.org/gsea/msigdb/cards/GOBP_NEGATIVE_REGULATION_OF_MITOCHONDRION_ORGANIZATION.html","GOBP_NEGATIVE_REGULATION_OF_MITOCHONDRION_ORGANIZATION")</f>
        <v>GOBP_NEGATIVE_REGULATION_OF_MITOCHONDRION_ORGANIZATION</v>
      </c>
      <c r="C4450" s="4">
        <v>53</v>
      </c>
      <c r="D4450" s="3">
        <v>0.58704274999999995</v>
      </c>
      <c r="E4450" s="1">
        <v>0.99835249999999998</v>
      </c>
      <c r="F4450" s="2">
        <v>0.99524873000000003</v>
      </c>
    </row>
    <row r="4451" spans="1:6" x14ac:dyDescent="0.25">
      <c r="A4451" t="s">
        <v>10</v>
      </c>
      <c r="B4451" s="5" t="str">
        <f>HYPERLINK("http://www.broadinstitute.org/gsea/msigdb/cards/REACTOME_CLASS_C_3_METABOTROPIC_GLUTAMATE_PHEROMONE_RECEPTORS.html","REACTOME_CLASS_C_3_METABOTROPIC_GLUTAMATE_PHEROMONE_RECEPTORS")</f>
        <v>REACTOME_CLASS_C_3_METABOTROPIC_GLUTAMATE_PHEROMONE_RECEPTORS</v>
      </c>
      <c r="C4451" s="4">
        <v>16</v>
      </c>
      <c r="D4451" s="3">
        <v>0.58632759999999995</v>
      </c>
      <c r="E4451" s="1">
        <v>0.97272729999999996</v>
      </c>
      <c r="F4451" s="2">
        <v>0.99518479999999998</v>
      </c>
    </row>
    <row r="4452" spans="1:6" x14ac:dyDescent="0.25">
      <c r="A4452" t="s">
        <v>8</v>
      </c>
      <c r="B4452" s="5" t="str">
        <f>HYPERLINK("http://www.broadinstitute.org/gsea/msigdb/cards/GOMF_NEUROPEPTIDE_RECEPTOR_ACTIVITY.html","GOMF_NEUROPEPTIDE_RECEPTOR_ACTIVITY")</f>
        <v>GOMF_NEUROPEPTIDE_RECEPTOR_ACTIVITY</v>
      </c>
      <c r="C4452" s="4">
        <v>39</v>
      </c>
      <c r="D4452" s="3">
        <v>0.58445435999999995</v>
      </c>
      <c r="E4452" s="1">
        <v>0.9842767</v>
      </c>
      <c r="F4452" s="2">
        <v>0.99537872999999999</v>
      </c>
    </row>
    <row r="4453" spans="1:6" x14ac:dyDescent="0.25">
      <c r="A4453" t="s">
        <v>6</v>
      </c>
      <c r="B4453" s="5" t="str">
        <f>HYPERLINK("http://www.broadinstitute.org/gsea/msigdb/cards/GOBP_MITOTIC_SPINDLE_ORGANIZATION.html","GOBP_MITOTIC_SPINDLE_ORGANIZATION")</f>
        <v>GOBP_MITOTIC_SPINDLE_ORGANIZATION</v>
      </c>
      <c r="C4453" s="4">
        <v>125</v>
      </c>
      <c r="D4453" s="3">
        <v>0.58270865999999999</v>
      </c>
      <c r="E4453" s="1">
        <v>1</v>
      </c>
      <c r="F4453" s="2">
        <v>0.99552309999999999</v>
      </c>
    </row>
    <row r="4454" spans="1:6" x14ac:dyDescent="0.25">
      <c r="A4454" t="s">
        <v>10</v>
      </c>
      <c r="B4454" s="5" t="str">
        <f>HYPERLINK("http://www.broadinstitute.org/gsea/msigdb/cards/REACTOME_METABOLISM_OF_FAT_SOLUBLE_VITAMINS.html","REACTOME_METABOLISM_OF_FAT_SOLUBLE_VITAMINS")</f>
        <v>REACTOME_METABOLISM_OF_FAT_SOLUBLE_VITAMINS</v>
      </c>
      <c r="C4454" s="4">
        <v>45</v>
      </c>
      <c r="D4454" s="3">
        <v>0.57743929999999999</v>
      </c>
      <c r="E4454" s="1">
        <v>0.99183005000000002</v>
      </c>
      <c r="F4454" s="2">
        <v>0.99636380000000002</v>
      </c>
    </row>
    <row r="4455" spans="1:6" x14ac:dyDescent="0.25">
      <c r="A4455" t="s">
        <v>8</v>
      </c>
      <c r="B4455" s="5" t="str">
        <f>HYPERLINK("http://www.broadinstitute.org/gsea/msigdb/cards/GOMF_AROMATASE_ACTIVITY.html","GOMF_AROMATASE_ACTIVITY")</f>
        <v>GOMF_AROMATASE_ACTIVITY</v>
      </c>
      <c r="C4455" s="4">
        <v>29</v>
      </c>
      <c r="D4455" s="3">
        <v>0.57573680000000005</v>
      </c>
      <c r="E4455" s="1">
        <v>0.98484850000000002</v>
      </c>
      <c r="F4455" s="2">
        <v>0.99647399999999997</v>
      </c>
    </row>
    <row r="4456" spans="1:6" x14ac:dyDescent="0.25">
      <c r="A4456" t="s">
        <v>6</v>
      </c>
      <c r="B4456" s="5" t="str">
        <f>HYPERLINK("http://www.broadinstitute.org/gsea/msigdb/cards/GOBP_DNA_SYNTHESIS_INVOLVED_IN_DNA_REPAIR.html","GOBP_DNA_SYNTHESIS_INVOLVED_IN_DNA_REPAIR")</f>
        <v>GOBP_DNA_SYNTHESIS_INVOLVED_IN_DNA_REPAIR</v>
      </c>
      <c r="C4456" s="4">
        <v>35</v>
      </c>
      <c r="D4456" s="3">
        <v>0.57479519999999995</v>
      </c>
      <c r="E4456" s="1">
        <v>0.97969543999999997</v>
      </c>
      <c r="F4456" s="2">
        <v>0.99644332999999996</v>
      </c>
    </row>
    <row r="4457" spans="1:6" x14ac:dyDescent="0.25">
      <c r="A4457" t="s">
        <v>6</v>
      </c>
      <c r="B4457" s="5" t="str">
        <f>HYPERLINK("http://www.broadinstitute.org/gsea/msigdb/cards/GOBP_PHOTOTRANSDUCTION.html","GOBP_PHOTOTRANSDUCTION")</f>
        <v>GOBP_PHOTOTRANSDUCTION</v>
      </c>
      <c r="C4457" s="4">
        <v>28</v>
      </c>
      <c r="D4457" s="3">
        <v>0.5731813</v>
      </c>
      <c r="E4457" s="1">
        <v>0.98711749999999998</v>
      </c>
      <c r="F4457" s="2">
        <v>0.99652640000000003</v>
      </c>
    </row>
    <row r="4458" spans="1:6" x14ac:dyDescent="0.25">
      <c r="A4458" t="s">
        <v>6</v>
      </c>
      <c r="B4458" s="5" t="str">
        <f>HYPERLINK("http://www.broadinstitute.org/gsea/msigdb/cards/GOBP_CELLULAR_RESPONSE_TO_ALDEHYDE.html","GOBP_CELLULAR_RESPONSE_TO_ALDEHYDE")</f>
        <v>GOBP_CELLULAR_RESPONSE_TO_ALDEHYDE</v>
      </c>
      <c r="C4458" s="4">
        <v>16</v>
      </c>
      <c r="D4458" s="3">
        <v>0.57228040000000002</v>
      </c>
      <c r="E4458" s="1">
        <v>0.96969700000000003</v>
      </c>
      <c r="F4458" s="2">
        <v>0.99646429999999997</v>
      </c>
    </row>
    <row r="4459" spans="1:6" x14ac:dyDescent="0.25">
      <c r="A4459" t="s">
        <v>6</v>
      </c>
      <c r="B4459" s="5" t="str">
        <f>HYPERLINK("http://www.broadinstitute.org/gsea/msigdb/cards/GOBP_REGULATION_OF_CHOLESTEROL_BIOSYNTHETIC_PROCESS.html","GOBP_REGULATION_OF_CHOLESTEROL_BIOSYNTHETIC_PROCESS")</f>
        <v>GOBP_REGULATION_OF_CHOLESTEROL_BIOSYNTHETIC_PROCESS</v>
      </c>
      <c r="C4459" s="4">
        <v>21</v>
      </c>
      <c r="D4459" s="3">
        <v>0.57081835999999997</v>
      </c>
      <c r="E4459" s="1">
        <v>0.98032200000000003</v>
      </c>
      <c r="F4459" s="2">
        <v>0.99649750000000004</v>
      </c>
    </row>
    <row r="4460" spans="1:6" x14ac:dyDescent="0.25">
      <c r="A4460" t="s">
        <v>6</v>
      </c>
      <c r="B4460" s="5" t="str">
        <f>HYPERLINK("http://www.broadinstitute.org/gsea/msigdb/cards/GOBP_PROTEIN_DEMETHYLATION.html","GOBP_PROTEIN_DEMETHYLATION")</f>
        <v>GOBP_PROTEIN_DEMETHYLATION</v>
      </c>
      <c r="C4460" s="4">
        <v>17</v>
      </c>
      <c r="D4460" s="3">
        <v>0.55667929999999999</v>
      </c>
      <c r="E4460" s="1">
        <v>0.97108839999999996</v>
      </c>
      <c r="F4460" s="2">
        <v>0.99850830000000002</v>
      </c>
    </row>
    <row r="4461" spans="1:6" x14ac:dyDescent="0.25">
      <c r="A4461" t="s">
        <v>6</v>
      </c>
      <c r="B4461" s="5" t="str">
        <f>HYPERLINK("http://www.broadinstitute.org/gsea/msigdb/cards/GOBP_POST_FERTILIZATION_EPIGENETIC_REGULATION_OF_GENE_EXPRESSION.html","GOBP_POST_FERTILIZATION_EPIGENETIC_REGULATION_OF_GENE_EXPRESSION")</f>
        <v>GOBP_POST_FERTILIZATION_EPIGENETIC_REGULATION_OF_GENE_EXPRESSION</v>
      </c>
      <c r="C4461" s="4">
        <v>21</v>
      </c>
      <c r="D4461" s="3">
        <v>0.55640184999999998</v>
      </c>
      <c r="E4461" s="1">
        <v>0.98233216999999995</v>
      </c>
      <c r="F4461" s="2">
        <v>0.99832430000000005</v>
      </c>
    </row>
    <row r="4462" spans="1:6" x14ac:dyDescent="0.25">
      <c r="A4462" t="s">
        <v>6</v>
      </c>
      <c r="B4462" s="5" t="str">
        <f>HYPERLINK("http://www.broadinstitute.org/gsea/msigdb/cards/GOBP_ATTACHMENT_OF_MITOTIC_SPINDLE_MICROTUBULES_TO_KINETOCHORE.html","GOBP_ATTACHMENT_OF_MITOTIC_SPINDLE_MICROTUBULES_TO_KINETOCHORE")</f>
        <v>GOBP_ATTACHMENT_OF_MITOTIC_SPINDLE_MICROTUBULES_TO_KINETOCHORE</v>
      </c>
      <c r="C4462" s="4">
        <v>20</v>
      </c>
      <c r="D4462" s="3">
        <v>0.55567940000000005</v>
      </c>
      <c r="E4462" s="1">
        <v>0.98932385</v>
      </c>
      <c r="F4462" s="2">
        <v>0.99819860000000005</v>
      </c>
    </row>
    <row r="4463" spans="1:6" x14ac:dyDescent="0.25">
      <c r="A4463" t="s">
        <v>6</v>
      </c>
      <c r="B4463" s="5" t="str">
        <f>HYPERLINK("http://www.broadinstitute.org/gsea/msigdb/cards/GOBP_PIRNA_PROCESSING.html","GOBP_PIRNA_PROCESSING")</f>
        <v>GOBP_PIRNA_PROCESSING</v>
      </c>
      <c r="C4463" s="4">
        <v>24</v>
      </c>
      <c r="D4463" s="3">
        <v>0.55524870000000004</v>
      </c>
      <c r="E4463" s="1">
        <v>0.98947370000000001</v>
      </c>
      <c r="F4463" s="2">
        <v>0.99803109999999995</v>
      </c>
    </row>
    <row r="4464" spans="1:6" x14ac:dyDescent="0.25">
      <c r="A4464" t="s">
        <v>6</v>
      </c>
      <c r="B4464" s="5" t="str">
        <f>HYPERLINK("http://www.broadinstitute.org/gsea/msigdb/cards/GOBP_POSITIVE_REGULATION_OF_CHOLESTEROL_METABOLIC_PROCESS.html","GOBP_POSITIVE_REGULATION_OF_CHOLESTEROL_METABOLIC_PROCESS")</f>
        <v>GOBP_POSITIVE_REGULATION_OF_CHOLESTEROL_METABOLIC_PROCESS</v>
      </c>
      <c r="C4464" s="4">
        <v>21</v>
      </c>
      <c r="D4464" s="3">
        <v>0.55487819999999999</v>
      </c>
      <c r="E4464" s="1">
        <v>0.98145026000000002</v>
      </c>
      <c r="F4464" s="2">
        <v>0.99785990000000002</v>
      </c>
    </row>
    <row r="4465" spans="1:6" x14ac:dyDescent="0.25">
      <c r="A4465" t="s">
        <v>10</v>
      </c>
      <c r="B4465" s="5" t="str">
        <f>HYPERLINK("http://www.broadinstitute.org/gsea/msigdb/cards/REACTOME_TP53_REGULATES_TRANSCRIPTION_OF_CELL_DEATH_GENES.html","REACTOME_TP53_REGULATES_TRANSCRIPTION_OF_CELL_DEATH_GENES")</f>
        <v>REACTOME_TP53_REGULATES_TRANSCRIPTION_OF_CELL_DEATH_GENES</v>
      </c>
      <c r="C4465" s="4">
        <v>15</v>
      </c>
      <c r="D4465" s="3">
        <v>0.54665629999999998</v>
      </c>
      <c r="E4465" s="1">
        <v>0.98701300000000003</v>
      </c>
      <c r="F4465" s="2">
        <v>0.99875944999999999</v>
      </c>
    </row>
    <row r="4466" spans="1:6" x14ac:dyDescent="0.25">
      <c r="A4466" t="s">
        <v>6</v>
      </c>
      <c r="B4466" s="5" t="str">
        <f>HYPERLINK("http://www.broadinstitute.org/gsea/msigdb/cards/GOBP_GROOMING_BEHAVIOR.html","GOBP_GROOMING_BEHAVIOR")</f>
        <v>GOBP_GROOMING_BEHAVIOR</v>
      </c>
      <c r="C4466" s="4">
        <v>24</v>
      </c>
      <c r="D4466" s="3">
        <v>0.54277609999999998</v>
      </c>
      <c r="E4466" s="1">
        <v>0.98148150000000001</v>
      </c>
      <c r="F4466" s="2">
        <v>0.99900610000000001</v>
      </c>
    </row>
    <row r="4467" spans="1:6" x14ac:dyDescent="0.25">
      <c r="A4467" t="s">
        <v>10</v>
      </c>
      <c r="B4467" s="5" t="str">
        <f>HYPERLINK("http://www.broadinstitute.org/gsea/msigdb/cards/REACTOME_HDR_THROUGH_SINGLE_STRAND_ANNEALING_SSA.html","REACTOME_HDR_THROUGH_SINGLE_STRAND_ANNEALING_SSA")</f>
        <v>REACTOME_HDR_THROUGH_SINGLE_STRAND_ANNEALING_SSA</v>
      </c>
      <c r="C4467" s="4">
        <v>35</v>
      </c>
      <c r="D4467" s="3">
        <v>0.54134994999999997</v>
      </c>
      <c r="E4467" s="1">
        <v>0.99478259999999996</v>
      </c>
      <c r="F4467" s="2">
        <v>0.99894539999999998</v>
      </c>
    </row>
    <row r="4468" spans="1:6" x14ac:dyDescent="0.25">
      <c r="A4468" t="s">
        <v>6</v>
      </c>
      <c r="B4468" s="5" t="str">
        <f>HYPERLINK("http://www.broadinstitute.org/gsea/msigdb/cards/GOBP_INTRACILIARY_RETROGRADE_TRANSPORT.html","GOBP_INTRACILIARY_RETROGRADE_TRANSPORT")</f>
        <v>GOBP_INTRACILIARY_RETROGRADE_TRANSPORT</v>
      </c>
      <c r="C4468" s="4">
        <v>16</v>
      </c>
      <c r="D4468" s="3">
        <v>0.53623175999999995</v>
      </c>
      <c r="E4468" s="1">
        <v>0.98606269999999996</v>
      </c>
      <c r="F4468" s="2">
        <v>0.99931276000000002</v>
      </c>
    </row>
    <row r="4469" spans="1:6" x14ac:dyDescent="0.25">
      <c r="A4469" t="s">
        <v>6</v>
      </c>
      <c r="B4469" s="5" t="str">
        <f>HYPERLINK("http://www.broadinstitute.org/gsea/msigdb/cards/GOBP_TYPE_B_PANCREATIC_CELL_DIFFERENTIATION.html","GOBP_TYPE_B_PANCREATIC_CELL_DIFFERENTIATION")</f>
        <v>GOBP_TYPE_B_PANCREATIC_CELL_DIFFERENTIATION</v>
      </c>
      <c r="C4469" s="4">
        <v>30</v>
      </c>
      <c r="D4469" s="3">
        <v>0.53452650000000002</v>
      </c>
      <c r="E4469" s="1">
        <v>0.9912434</v>
      </c>
      <c r="F4469" s="2">
        <v>0.999274</v>
      </c>
    </row>
    <row r="4470" spans="1:6" x14ac:dyDescent="0.25">
      <c r="A4470" t="s">
        <v>7</v>
      </c>
      <c r="B4470" s="5" t="str">
        <f>HYPERLINK("http://www.broadinstitute.org/gsea/msigdb/cards/GOCC_BLOC_1_COMPLEX.html","GOCC_BLOC_1_COMPLEX")</f>
        <v>GOCC_BLOC_1_COMPLEX</v>
      </c>
      <c r="C4470" s="4">
        <v>15</v>
      </c>
      <c r="D4470" s="3">
        <v>0.532883</v>
      </c>
      <c r="E4470" s="1">
        <v>0.98429319999999998</v>
      </c>
      <c r="F4470" s="2">
        <v>0.99920980000000004</v>
      </c>
    </row>
    <row r="4471" spans="1:6" x14ac:dyDescent="0.25">
      <c r="A4471" t="s">
        <v>6</v>
      </c>
      <c r="B4471" s="5" t="str">
        <f>HYPERLINK("http://www.broadinstitute.org/gsea/msigdb/cards/GOBP_REGULATION_OF_SYNAPTIC_TRANSMISSION_CHOLINERGIC.html","GOBP_REGULATION_OF_SYNAPTIC_TRANSMISSION_CHOLINERGIC")</f>
        <v>GOBP_REGULATION_OF_SYNAPTIC_TRANSMISSION_CHOLINERGIC</v>
      </c>
      <c r="C4471" s="4">
        <v>16</v>
      </c>
      <c r="D4471" s="3">
        <v>0.52095020000000003</v>
      </c>
      <c r="E4471" s="1">
        <v>0.98442905999999997</v>
      </c>
      <c r="F4471" s="2">
        <v>1</v>
      </c>
    </row>
    <row r="4472" spans="1:6" x14ac:dyDescent="0.25">
      <c r="A4472" t="s">
        <v>6</v>
      </c>
      <c r="B4472" s="5" t="str">
        <f>HYPERLINK("http://www.broadinstitute.org/gsea/msigdb/cards/GOBP_PYRIMIDINE_CONTAINING_COMPOUND_CATABOLIC_PROCESS.html","GOBP_PYRIMIDINE_CONTAINING_COMPOUND_CATABOLIC_PROCESS")</f>
        <v>GOBP_PYRIMIDINE_CONTAINING_COMPOUND_CATABOLIC_PROCESS</v>
      </c>
      <c r="C4472" s="4">
        <v>27</v>
      </c>
      <c r="D4472" s="3">
        <v>0.5192407</v>
      </c>
      <c r="E4472" s="1">
        <v>0.99663299999999999</v>
      </c>
      <c r="F4472" s="2">
        <v>1</v>
      </c>
    </row>
    <row r="4473" spans="1:6" x14ac:dyDescent="0.25">
      <c r="A4473" t="s">
        <v>8</v>
      </c>
      <c r="B4473" s="5" t="str">
        <f>HYPERLINK("http://www.broadinstitute.org/gsea/msigdb/cards/GOMF_SOLUTE_SODIUM_SYMPORTER_ACTIVITY.html","GOMF_SOLUTE_SODIUM_SYMPORTER_ACTIVITY")</f>
        <v>GOMF_SOLUTE_SODIUM_SYMPORTER_ACTIVITY</v>
      </c>
      <c r="C4473" s="4">
        <v>80</v>
      </c>
      <c r="D4473" s="3">
        <v>0.51400256</v>
      </c>
      <c r="E4473" s="1">
        <v>1</v>
      </c>
      <c r="F4473" s="2">
        <v>1</v>
      </c>
    </row>
    <row r="4474" spans="1:6" x14ac:dyDescent="0.25">
      <c r="A4474" t="s">
        <v>8</v>
      </c>
      <c r="B4474" s="5" t="str">
        <f>HYPERLINK("http://www.broadinstitute.org/gsea/msigdb/cards/GOMF_SULFATE_TRANSMEMBRANE_TRANSPORTER_ACTIVITY.html","GOMF_SULFATE_TRANSMEMBRANE_TRANSPORTER_ACTIVITY")</f>
        <v>GOMF_SULFATE_TRANSMEMBRANE_TRANSPORTER_ACTIVITY</v>
      </c>
      <c r="C4474" s="4">
        <v>16</v>
      </c>
      <c r="D4474" s="3">
        <v>0.51179830000000004</v>
      </c>
      <c r="E4474" s="1">
        <v>0.98738736000000005</v>
      </c>
      <c r="F4474" s="2">
        <v>1</v>
      </c>
    </row>
    <row r="4475" spans="1:6" x14ac:dyDescent="0.25">
      <c r="A4475" t="s">
        <v>6</v>
      </c>
      <c r="B4475" s="5" t="str">
        <f>HYPERLINK("http://www.broadinstitute.org/gsea/msigdb/cards/GOBP_G_PROTEIN_COUPLED_GLUTAMATE_RECEPTOR_SIGNALING_PATHWAY.html","GOBP_G_PROTEIN_COUPLED_GLUTAMATE_RECEPTOR_SIGNALING_PATHWAY")</f>
        <v>GOBP_G_PROTEIN_COUPLED_GLUTAMATE_RECEPTOR_SIGNALING_PATHWAY</v>
      </c>
      <c r="C4475" s="4">
        <v>15</v>
      </c>
      <c r="D4475" s="3">
        <v>0.51134840000000004</v>
      </c>
      <c r="E4475" s="1">
        <v>0.99474609999999997</v>
      </c>
      <c r="F4475" s="2">
        <v>0.99998116000000004</v>
      </c>
    </row>
    <row r="4476" spans="1:6" x14ac:dyDescent="0.25">
      <c r="A4476" t="s">
        <v>6</v>
      </c>
      <c r="B4476" s="5" t="str">
        <f>HYPERLINK("http://www.broadinstitute.org/gsea/msigdb/cards/GOBP_TERPENOID_BIOSYNTHETIC_PROCESS.html","GOBP_TERPENOID_BIOSYNTHETIC_PROCESS")</f>
        <v>GOBP_TERPENOID_BIOSYNTHETIC_PROCESS</v>
      </c>
      <c r="C4476" s="4">
        <v>24</v>
      </c>
      <c r="D4476" s="3">
        <v>0.50714689999999996</v>
      </c>
      <c r="E4476" s="1">
        <v>0.99315070000000005</v>
      </c>
      <c r="F4476" s="2">
        <v>1</v>
      </c>
    </row>
    <row r="4477" spans="1:6" x14ac:dyDescent="0.25">
      <c r="A4477" t="s">
        <v>6</v>
      </c>
      <c r="B4477" s="5" t="str">
        <f>HYPERLINK("http://www.broadinstitute.org/gsea/msigdb/cards/GOBP_ENDOSOME_TO_PLASMA_MEMBRANE_PROTEIN_TRANSPORT.html","GOBP_ENDOSOME_TO_PLASMA_MEMBRANE_PROTEIN_TRANSPORT")</f>
        <v>GOBP_ENDOSOME_TO_PLASMA_MEMBRANE_PROTEIN_TRANSPORT</v>
      </c>
      <c r="C4477" s="4">
        <v>21</v>
      </c>
      <c r="D4477" s="3">
        <v>0.50568480000000005</v>
      </c>
      <c r="E4477" s="1">
        <v>0.99324319999999999</v>
      </c>
      <c r="F4477" s="2">
        <v>0.99991786000000005</v>
      </c>
    </row>
    <row r="4478" spans="1:6" x14ac:dyDescent="0.25">
      <c r="A4478" t="s">
        <v>6</v>
      </c>
      <c r="B4478" s="5" t="str">
        <f>HYPERLINK("http://www.broadinstitute.org/gsea/msigdb/cards/GOBP_TRIGLYCERIDE_CATABOLIC_PROCESS.html","GOBP_TRIGLYCERIDE_CATABOLIC_PROCESS")</f>
        <v>GOBP_TRIGLYCERIDE_CATABOLIC_PROCESS</v>
      </c>
      <c r="C4478" s="4">
        <v>28</v>
      </c>
      <c r="D4478" s="3">
        <v>0.50439405000000004</v>
      </c>
      <c r="E4478" s="1">
        <v>1</v>
      </c>
      <c r="F4478" s="2">
        <v>0.99977300000000002</v>
      </c>
    </row>
    <row r="4479" spans="1:6" x14ac:dyDescent="0.25">
      <c r="A4479" t="s">
        <v>7</v>
      </c>
      <c r="B4479" s="5" t="str">
        <f>HYPERLINK("http://www.broadinstitute.org/gsea/msigdb/cards/GOCC_DNA_POLYMERASE_COMPLEX.html","GOCC_DNA_POLYMERASE_COMPLEX")</f>
        <v>GOCC_DNA_POLYMERASE_COMPLEX</v>
      </c>
      <c r="C4479" s="4">
        <v>18</v>
      </c>
      <c r="D4479" s="3">
        <v>0.49505139999999997</v>
      </c>
      <c r="E4479" s="1">
        <v>0.99484539999999999</v>
      </c>
      <c r="F4479" s="2">
        <v>1</v>
      </c>
    </row>
    <row r="4480" spans="1:6" x14ac:dyDescent="0.25">
      <c r="A4480" t="s">
        <v>6</v>
      </c>
      <c r="B4480" s="5" t="str">
        <f>HYPERLINK("http://www.broadinstitute.org/gsea/msigdb/cards/GOBP_MULTICELLULAR_ORGANISMAL_LEVEL_WATER_HOMEOSTASIS.html","GOBP_MULTICELLULAR_ORGANISMAL_LEVEL_WATER_HOMEOSTASIS")</f>
        <v>GOBP_MULTICELLULAR_ORGANISMAL_LEVEL_WATER_HOMEOSTASIS</v>
      </c>
      <c r="C4480" s="4">
        <v>24</v>
      </c>
      <c r="D4480" s="3">
        <v>0.49027693</v>
      </c>
      <c r="E4480" s="1">
        <v>0.99163880000000004</v>
      </c>
      <c r="F4480" s="2">
        <v>1</v>
      </c>
    </row>
    <row r="4481" spans="1:6" x14ac:dyDescent="0.25">
      <c r="A4481" t="s">
        <v>6</v>
      </c>
      <c r="B4481" s="5" t="str">
        <f>HYPERLINK("http://www.broadinstitute.org/gsea/msigdb/cards/GOBP_MEDIUM_CHAIN_FATTY_ACID_METABOLIC_PROCESS.html","GOBP_MEDIUM_CHAIN_FATTY_ACID_METABOLIC_PROCESS")</f>
        <v>GOBP_MEDIUM_CHAIN_FATTY_ACID_METABOLIC_PROCESS</v>
      </c>
      <c r="C4481" s="4">
        <v>19</v>
      </c>
      <c r="D4481" s="3">
        <v>0.48803597999999998</v>
      </c>
      <c r="E4481" s="1">
        <v>0.99646020000000002</v>
      </c>
      <c r="F4481" s="2">
        <v>1</v>
      </c>
    </row>
    <row r="4482" spans="1:6" x14ac:dyDescent="0.25">
      <c r="A4482" t="s">
        <v>10</v>
      </c>
      <c r="B4482" s="5" t="str">
        <f>HYPERLINK("http://www.broadinstitute.org/gsea/msigdb/cards/REACTOME_ACTIVATION_OF_THE_PRE_REPLICATIVE_COMPLEX.html","REACTOME_ACTIVATION_OF_THE_PRE_REPLICATIVE_COMPLEX")</f>
        <v>REACTOME_ACTIVATION_OF_THE_PRE_REPLICATIVE_COMPLEX</v>
      </c>
      <c r="C4482" s="4">
        <v>31</v>
      </c>
      <c r="D4482" s="3">
        <v>0.48792014</v>
      </c>
      <c r="E4482" s="1">
        <v>0.9983687</v>
      </c>
      <c r="F4482" s="2">
        <v>0.99983750000000005</v>
      </c>
    </row>
    <row r="4483" spans="1:6" x14ac:dyDescent="0.25">
      <c r="A4483" t="s">
        <v>8</v>
      </c>
      <c r="B4483" s="5" t="str">
        <f>HYPERLINK("http://www.broadinstitute.org/gsea/msigdb/cards/GOMF_NARROW_PORE_CHANNEL_ACTIVITY.html","GOMF_NARROW_PORE_CHANNEL_ACTIVITY")</f>
        <v>GOMF_NARROW_PORE_CHANNEL_ACTIVITY</v>
      </c>
      <c r="C4483" s="4">
        <v>17</v>
      </c>
      <c r="D4483" s="3">
        <v>0.46694760000000002</v>
      </c>
      <c r="E4483" s="1">
        <v>0.99658703999999998</v>
      </c>
      <c r="F4483" s="2">
        <v>1</v>
      </c>
    </row>
    <row r="4484" spans="1:6" x14ac:dyDescent="0.25">
      <c r="A4484" t="s">
        <v>6</v>
      </c>
      <c r="B4484" s="5" t="str">
        <f>HYPERLINK("http://www.broadinstitute.org/gsea/msigdb/cards/GOBP_PREPULSE_INHIBITION.html","GOBP_PREPULSE_INHIBITION")</f>
        <v>GOBP_PREPULSE_INHIBITION</v>
      </c>
      <c r="C4484" s="4">
        <v>20</v>
      </c>
      <c r="D4484" s="3">
        <v>0.46203519999999998</v>
      </c>
      <c r="E4484" s="1">
        <v>0.99640936000000002</v>
      </c>
      <c r="F4484" s="2">
        <v>1</v>
      </c>
    </row>
    <row r="4485" spans="1:6" x14ac:dyDescent="0.25">
      <c r="A4485" t="s">
        <v>6</v>
      </c>
      <c r="B4485" s="5" t="str">
        <f>HYPERLINK("http://www.broadinstitute.org/gsea/msigdb/cards/GOBP_ATTACHMENT_OF_SPINDLE_MICROTUBULES_TO_KINETOCHORE.html","GOBP_ATTACHMENT_OF_SPINDLE_MICROTUBULES_TO_KINETOCHORE")</f>
        <v>GOBP_ATTACHMENT_OF_SPINDLE_MICROTUBULES_TO_KINETOCHORE</v>
      </c>
      <c r="C4485" s="4">
        <v>44</v>
      </c>
      <c r="D4485" s="3">
        <v>0.45860028000000003</v>
      </c>
      <c r="E4485" s="1">
        <v>1</v>
      </c>
      <c r="F4485" s="2">
        <v>1</v>
      </c>
    </row>
    <row r="4486" spans="1:6" x14ac:dyDescent="0.25">
      <c r="A4486" t="s">
        <v>7</v>
      </c>
      <c r="B4486" s="5" t="str">
        <f>HYPERLINK("http://www.broadinstitute.org/gsea/msigdb/cards/GOCC_DENDRITIC_SPINE_HEAD.html","GOCC_DENDRITIC_SPINE_HEAD")</f>
        <v>GOCC_DENDRITIC_SPINE_HEAD</v>
      </c>
      <c r="C4486" s="4">
        <v>15</v>
      </c>
      <c r="D4486" s="3">
        <v>0.45327887</v>
      </c>
      <c r="E4486" s="1">
        <v>0.99823945999999997</v>
      </c>
      <c r="F4486" s="2">
        <v>1</v>
      </c>
    </row>
    <row r="4487" spans="1:6" x14ac:dyDescent="0.25">
      <c r="A4487" t="s">
        <v>8</v>
      </c>
      <c r="B4487" s="5" t="str">
        <f>HYPERLINK("http://www.broadinstitute.org/gsea/msigdb/cards/GOMF_LONG_CHAIN_FATTY_ACID_COA_LIGASE_ACTIVITY.html","GOMF_LONG_CHAIN_FATTY_ACID_COA_LIGASE_ACTIVITY")</f>
        <v>GOMF_LONG_CHAIN_FATTY_ACID_COA_LIGASE_ACTIVITY</v>
      </c>
      <c r="C4487" s="4">
        <v>15</v>
      </c>
      <c r="D4487" s="3">
        <v>0.45021235999999998</v>
      </c>
      <c r="E4487" s="1">
        <v>1</v>
      </c>
      <c r="F4487" s="2">
        <v>1</v>
      </c>
    </row>
    <row r="4488" spans="1:6" x14ac:dyDescent="0.25">
      <c r="A4488" t="s">
        <v>6</v>
      </c>
      <c r="B4488" s="5" t="str">
        <f>HYPERLINK("http://www.broadinstitute.org/gsea/msigdb/cards/GOBP_RETINOIC_ACID_METABOLIC_PROCESS.html","GOBP_RETINOIC_ACID_METABOLIC_PROCESS")</f>
        <v>GOBP_RETINOIC_ACID_METABOLIC_PROCESS</v>
      </c>
      <c r="C4488" s="4">
        <v>37</v>
      </c>
      <c r="D4488" s="3">
        <v>0.44608384000000001</v>
      </c>
      <c r="E4488" s="1">
        <v>1</v>
      </c>
      <c r="F4488" s="2">
        <v>0.99989380000000005</v>
      </c>
    </row>
    <row r="4489" spans="1:6" x14ac:dyDescent="0.25">
      <c r="A4489" t="s">
        <v>6</v>
      </c>
      <c r="B4489" s="5" t="str">
        <f>HYPERLINK("http://www.broadinstitute.org/gsea/msigdb/cards/GOBP_AMELOGENESIS.html","GOBP_AMELOGENESIS")</f>
        <v>GOBP_AMELOGENESIS</v>
      </c>
      <c r="C4489" s="4">
        <v>28</v>
      </c>
      <c r="D4489" s="3">
        <v>0.43018394999999998</v>
      </c>
      <c r="E4489" s="1">
        <v>1</v>
      </c>
      <c r="F4489" s="2">
        <v>0.99995679999999998</v>
      </c>
    </row>
    <row r="4490" spans="1:6" x14ac:dyDescent="0.25">
      <c r="A4490" t="s">
        <v>8</v>
      </c>
      <c r="B4490" s="5" t="str">
        <f>HYPERLINK("http://www.broadinstitute.org/gsea/msigdb/cards/GOMF_TRIGLYCERIDE_LIPASE_ACTIVITY.html","GOMF_TRIGLYCERIDE_LIPASE_ACTIVITY")</f>
        <v>GOMF_TRIGLYCERIDE_LIPASE_ACTIVITY</v>
      </c>
      <c r="C4490" s="4">
        <v>19</v>
      </c>
      <c r="D4490" s="3">
        <v>0.42707556000000002</v>
      </c>
      <c r="E4490" s="1">
        <v>1</v>
      </c>
      <c r="F4490" s="2">
        <v>0.99977590000000005</v>
      </c>
    </row>
    <row r="4491" spans="1:6" x14ac:dyDescent="0.25">
      <c r="A4491" t="s">
        <v>8</v>
      </c>
      <c r="B4491" s="5" t="str">
        <f>HYPERLINK("http://www.broadinstitute.org/gsea/msigdb/cards/GOMF_S_ACYLTRANSFERASE_ACTIVITY.html","GOMF_S_ACYLTRANSFERASE_ACTIVITY")</f>
        <v>GOMF_S_ACYLTRANSFERASE_ACTIVITY</v>
      </c>
      <c r="C4491" s="4">
        <v>27</v>
      </c>
      <c r="D4491" s="3">
        <v>0.40344495000000002</v>
      </c>
      <c r="E4491" s="1">
        <v>1</v>
      </c>
      <c r="F4491" s="2">
        <v>0.99979233999999995</v>
      </c>
    </row>
    <row r="4492" spans="1:6" x14ac:dyDescent="0.25">
      <c r="A4492" t="s">
        <v>6</v>
      </c>
      <c r="B4492" s="5" t="str">
        <f>HYPERLINK("http://www.broadinstitute.org/gsea/msigdb/cards/GOBP_REGULATION_OF_ATTACHMENT_OF_SPINDLE_MICROTUBULES_TO_KINETOCHORE.html","GOBP_REGULATION_OF_ATTACHMENT_OF_SPINDLE_MICROTUBULES_TO_KINETOCHORE")</f>
        <v>GOBP_REGULATION_OF_ATTACHMENT_OF_SPINDLE_MICROTUBULES_TO_KINETOCHORE</v>
      </c>
      <c r="C4492" s="4">
        <v>20</v>
      </c>
      <c r="D4492" s="3">
        <v>-0.41906080000000001</v>
      </c>
      <c r="E4492" s="1">
        <v>0.99763595999999999</v>
      </c>
      <c r="F4492" s="2">
        <v>0.99974050000000003</v>
      </c>
    </row>
    <row r="4493" spans="1:6" x14ac:dyDescent="0.25">
      <c r="A4493" t="s">
        <v>6</v>
      </c>
      <c r="B4493" s="5" t="str">
        <f>HYPERLINK("http://www.broadinstitute.org/gsea/msigdb/cards/GOBP_NEGATIVE_REGULATION_OF_ADENYLATE_CYCLASE_ACTIVITY.html","GOBP_NEGATIVE_REGULATION_OF_ADENYLATE_CYCLASE_ACTIVITY")</f>
        <v>GOBP_NEGATIVE_REGULATION_OF_ADENYLATE_CYCLASE_ACTIVITY</v>
      </c>
      <c r="C4493" s="4">
        <v>15</v>
      </c>
      <c r="D4493" s="3">
        <v>-0.42730849999999998</v>
      </c>
      <c r="E4493" s="1">
        <v>1</v>
      </c>
      <c r="F4493" s="2">
        <v>1</v>
      </c>
    </row>
    <row r="4494" spans="1:6" x14ac:dyDescent="0.25">
      <c r="A4494" t="s">
        <v>8</v>
      </c>
      <c r="B4494" s="5" t="str">
        <f>HYPERLINK("http://www.broadinstitute.org/gsea/msigdb/cards/GOMF_ANDROSTERONE_DEHYDROGENASE_ACTIVITY.html","GOMF_ANDROSTERONE_DEHYDROGENASE_ACTIVITY")</f>
        <v>GOMF_ANDROSTERONE_DEHYDROGENASE_ACTIVITY</v>
      </c>
      <c r="C4494" s="4">
        <v>18</v>
      </c>
      <c r="D4494" s="3">
        <v>-0.45162370000000002</v>
      </c>
      <c r="E4494" s="1">
        <v>0.99761902999999996</v>
      </c>
      <c r="F4494" s="2">
        <v>1</v>
      </c>
    </row>
    <row r="4495" spans="1:6" x14ac:dyDescent="0.25">
      <c r="A4495" t="s">
        <v>10</v>
      </c>
      <c r="B4495" s="5" t="str">
        <f>HYPERLINK("http://www.broadinstitute.org/gsea/msigdb/cards/REACTOME_PHOSPHOLIPASE_C_MEDIATED_CASCADE_FGFR4.html","REACTOME_PHOSPHOLIPASE_C_MEDIATED_CASCADE_FGFR4")</f>
        <v>REACTOME_PHOSPHOLIPASE_C_MEDIATED_CASCADE_FGFR4</v>
      </c>
      <c r="C4495" s="4">
        <v>15</v>
      </c>
      <c r="D4495" s="3">
        <v>-0.45417023000000001</v>
      </c>
      <c r="E4495" s="1">
        <v>1</v>
      </c>
      <c r="F4495" s="2">
        <v>1</v>
      </c>
    </row>
    <row r="4496" spans="1:6" x14ac:dyDescent="0.25">
      <c r="A4496" t="s">
        <v>6</v>
      </c>
      <c r="B4496" s="5" t="str">
        <f>HYPERLINK("http://www.broadinstitute.org/gsea/msigdb/cards/GOBP_REGULATION_OF_CILIUM_MOVEMENT.html","GOBP_REGULATION_OF_CILIUM_MOVEMENT")</f>
        <v>GOBP_REGULATION_OF_CILIUM_MOVEMENT</v>
      </c>
      <c r="C4496" s="4">
        <v>38</v>
      </c>
      <c r="D4496" s="3">
        <v>-0.45700764999999999</v>
      </c>
      <c r="E4496" s="1">
        <v>1</v>
      </c>
      <c r="F4496" s="2">
        <v>1</v>
      </c>
    </row>
    <row r="4497" spans="1:6" x14ac:dyDescent="0.25">
      <c r="A4497" t="s">
        <v>6</v>
      </c>
      <c r="B4497" s="5" t="str">
        <f>HYPERLINK("http://www.broadinstitute.org/gsea/msigdb/cards/GOBP_PROTEIN_LOCALIZATION_TO_NUCLEOLUS.html","GOBP_PROTEIN_LOCALIZATION_TO_NUCLEOLUS")</f>
        <v>GOBP_PROTEIN_LOCALIZATION_TO_NUCLEOLUS</v>
      </c>
      <c r="C4497" s="4">
        <v>17</v>
      </c>
      <c r="D4497" s="3">
        <v>-0.47457539999999998</v>
      </c>
      <c r="E4497" s="1">
        <v>0.99757870000000004</v>
      </c>
      <c r="F4497" s="2">
        <v>1</v>
      </c>
    </row>
    <row r="4498" spans="1:6" x14ac:dyDescent="0.25">
      <c r="A4498" t="s">
        <v>6</v>
      </c>
      <c r="B4498" s="5" t="str">
        <f>HYPERLINK("http://www.broadinstitute.org/gsea/msigdb/cards/GOBP_BICARBONATE_TRANSPORT.html","GOBP_BICARBONATE_TRANSPORT")</f>
        <v>GOBP_BICARBONATE_TRANSPORT</v>
      </c>
      <c r="C4498" s="4">
        <v>19</v>
      </c>
      <c r="D4498" s="3">
        <v>-0.47471467000000001</v>
      </c>
      <c r="E4498" s="1">
        <v>0.99757284000000002</v>
      </c>
      <c r="F4498" s="2">
        <v>1</v>
      </c>
    </row>
    <row r="4499" spans="1:6" x14ac:dyDescent="0.25">
      <c r="A4499" t="s">
        <v>8</v>
      </c>
      <c r="B4499" s="5" t="str">
        <f>HYPERLINK("http://www.broadinstitute.org/gsea/msigdb/cards/GOMF_EPHRIN_RECEPTOR_ACTIVITY.html","GOMF_EPHRIN_RECEPTOR_ACTIVITY")</f>
        <v>GOMF_EPHRIN_RECEPTOR_ACTIVITY</v>
      </c>
      <c r="C4499" s="4">
        <v>16</v>
      </c>
      <c r="D4499" s="3">
        <v>-0.47763670000000003</v>
      </c>
      <c r="E4499" s="1">
        <v>0.99275360000000001</v>
      </c>
      <c r="F4499" s="2">
        <v>1</v>
      </c>
    </row>
    <row r="4500" spans="1:6" x14ac:dyDescent="0.25">
      <c r="A4500" t="s">
        <v>6</v>
      </c>
      <c r="B4500" s="5" t="str">
        <f>HYPERLINK("http://www.broadinstitute.org/gsea/msigdb/cards/GOBP_ENAMEL_MINERALIZATION.html","GOBP_ENAMEL_MINERALIZATION")</f>
        <v>GOBP_ENAMEL_MINERALIZATION</v>
      </c>
      <c r="C4500" s="4">
        <v>20</v>
      </c>
      <c r="D4500" s="3">
        <v>-0.48567189999999999</v>
      </c>
      <c r="E4500" s="1">
        <v>0.99537039999999999</v>
      </c>
      <c r="F4500" s="2">
        <v>1</v>
      </c>
    </row>
    <row r="4501" spans="1:6" x14ac:dyDescent="0.25">
      <c r="A4501" t="s">
        <v>8</v>
      </c>
      <c r="B4501" s="5" t="str">
        <f>HYPERLINK("http://www.broadinstitute.org/gsea/msigdb/cards/GOMF_INTRACELLULAR_CHLORIDE_CHANNEL_ACTIVITY.html","GOMF_INTRACELLULAR_CHLORIDE_CHANNEL_ACTIVITY")</f>
        <v>GOMF_INTRACELLULAR_CHLORIDE_CHANNEL_ACTIVITY</v>
      </c>
      <c r="C4501" s="4">
        <v>21</v>
      </c>
      <c r="D4501" s="3">
        <v>-0.50345779999999996</v>
      </c>
      <c r="E4501" s="1">
        <v>0.9835294</v>
      </c>
      <c r="F4501" s="2">
        <v>1</v>
      </c>
    </row>
    <row r="4502" spans="1:6" x14ac:dyDescent="0.25">
      <c r="A4502" t="s">
        <v>10</v>
      </c>
      <c r="B4502" s="5" t="str">
        <f>HYPERLINK("http://www.broadinstitute.org/gsea/msigdb/cards/REACTOME_UNBLOCKING_OF_NMDA_RECEPTORS_GLUTAMATE_BINDING_AND_ACTIVATION.html","REACTOME_UNBLOCKING_OF_NMDA_RECEPTORS_GLUTAMATE_BINDING_AND_ACTIVATION")</f>
        <v>REACTOME_UNBLOCKING_OF_NMDA_RECEPTORS_GLUTAMATE_BINDING_AND_ACTIVATION</v>
      </c>
      <c r="C4502" s="4">
        <v>22</v>
      </c>
      <c r="D4502" s="3">
        <v>-0.51289779999999996</v>
      </c>
      <c r="E4502" s="1">
        <v>0.99756100000000003</v>
      </c>
      <c r="F4502" s="2">
        <v>1</v>
      </c>
    </row>
    <row r="4503" spans="1:6" x14ac:dyDescent="0.25">
      <c r="A4503" t="s">
        <v>7</v>
      </c>
      <c r="B4503" s="5" t="str">
        <f>HYPERLINK("http://www.broadinstitute.org/gsea/msigdb/cards/GOCC_PERICENTRIOLAR_MATERIAL.html","GOCC_PERICENTRIOLAR_MATERIAL")</f>
        <v>GOCC_PERICENTRIOLAR_MATERIAL</v>
      </c>
      <c r="C4503" s="4">
        <v>24</v>
      </c>
      <c r="D4503" s="3">
        <v>-0.51704556000000002</v>
      </c>
      <c r="E4503" s="1">
        <v>1</v>
      </c>
      <c r="F4503" s="2">
        <v>1</v>
      </c>
    </row>
    <row r="4504" spans="1:6" x14ac:dyDescent="0.25">
      <c r="A4504" t="s">
        <v>10</v>
      </c>
      <c r="B4504" s="5" t="str">
        <f>HYPERLINK("http://www.broadinstitute.org/gsea/msigdb/cards/REACTOME_CYCLIN_A_B1_B2_ASSOCIATED_EVENTS_DURING_G2_M_TRANSITION.html","REACTOME_CYCLIN_A_B1_B2_ASSOCIATED_EVENTS_DURING_G2_M_TRANSITION")</f>
        <v>REACTOME_CYCLIN_A_B1_B2_ASSOCIATED_EVENTS_DURING_G2_M_TRANSITION</v>
      </c>
      <c r="C4504" s="4">
        <v>24</v>
      </c>
      <c r="D4504" s="3">
        <v>-0.52203613999999998</v>
      </c>
      <c r="E4504" s="1">
        <v>0.99521530000000002</v>
      </c>
      <c r="F4504" s="2">
        <v>1</v>
      </c>
    </row>
    <row r="4505" spans="1:6" x14ac:dyDescent="0.25">
      <c r="A4505" t="s">
        <v>8</v>
      </c>
      <c r="B4505" s="5" t="str">
        <f>HYPERLINK("http://www.broadinstitute.org/gsea/msigdb/cards/GOMF_CHOLESTEROL_BINDING.html","GOMF_CHOLESTEROL_BINDING")</f>
        <v>GOMF_CHOLESTEROL_BINDING</v>
      </c>
      <c r="C4505" s="4">
        <v>50</v>
      </c>
      <c r="D4505" s="3">
        <v>-0.53127455999999995</v>
      </c>
      <c r="E4505" s="1">
        <v>0.99736840000000004</v>
      </c>
      <c r="F4505" s="2">
        <v>1</v>
      </c>
    </row>
    <row r="4506" spans="1:6" x14ac:dyDescent="0.25">
      <c r="A4506" t="s">
        <v>6</v>
      </c>
      <c r="B4506" s="5" t="str">
        <f>HYPERLINK("http://www.broadinstitute.org/gsea/msigdb/cards/GOBP_PROTEIN_PALMITOYLATION.html","GOBP_PROTEIN_PALMITOYLATION")</f>
        <v>GOBP_PROTEIN_PALMITOYLATION</v>
      </c>
      <c r="C4506" s="4">
        <v>30</v>
      </c>
      <c r="D4506" s="3">
        <v>-0.53480934999999996</v>
      </c>
      <c r="E4506" s="1">
        <v>0.98979589999999995</v>
      </c>
      <c r="F4506" s="2">
        <v>1</v>
      </c>
    </row>
    <row r="4507" spans="1:6" x14ac:dyDescent="0.25">
      <c r="A4507" t="s">
        <v>8</v>
      </c>
      <c r="B4507" s="5" t="str">
        <f>HYPERLINK("http://www.broadinstitute.org/gsea/msigdb/cards/GOMF_CYCLIN_DEPENDENT_PROTEIN_SERINE_THREONINE_KINASE_REGULATOR_ACTIVITY.html","GOMF_CYCLIN_DEPENDENT_PROTEIN_SERINE_THREONINE_KINASE_REGULATOR_ACTIVITY")</f>
        <v>GOMF_CYCLIN_DEPENDENT_PROTEIN_SERINE_THREONINE_KINASE_REGULATOR_ACTIVITY</v>
      </c>
      <c r="C4507" s="4">
        <v>46</v>
      </c>
      <c r="D4507" s="3">
        <v>-0.53963640000000002</v>
      </c>
      <c r="E4507" s="1">
        <v>1</v>
      </c>
      <c r="F4507" s="2">
        <v>1</v>
      </c>
    </row>
    <row r="4508" spans="1:6" x14ac:dyDescent="0.25">
      <c r="A4508" t="s">
        <v>6</v>
      </c>
      <c r="B4508" s="5" t="str">
        <f>HYPERLINK("http://www.broadinstitute.org/gsea/msigdb/cards/GOBP_NEUROPEPTIDE_SIGNALING_PATHWAY.html","GOBP_NEUROPEPTIDE_SIGNALING_PATHWAY")</f>
        <v>GOBP_NEUROPEPTIDE_SIGNALING_PATHWAY</v>
      </c>
      <c r="C4508" s="4">
        <v>84</v>
      </c>
      <c r="D4508" s="3">
        <v>-0.54034554999999995</v>
      </c>
      <c r="E4508" s="1">
        <v>1</v>
      </c>
      <c r="F4508" s="2">
        <v>1</v>
      </c>
    </row>
    <row r="4509" spans="1:6" x14ac:dyDescent="0.25">
      <c r="A4509" t="s">
        <v>8</v>
      </c>
      <c r="B4509" s="5" t="str">
        <f>HYPERLINK("http://www.broadinstitute.org/gsea/msigdb/cards/GOMF_RETINAL_BINDING.html","GOMF_RETINAL_BINDING")</f>
        <v>GOMF_RETINAL_BINDING</v>
      </c>
      <c r="C4509" s="4">
        <v>17</v>
      </c>
      <c r="D4509" s="3">
        <v>-0.54345244000000004</v>
      </c>
      <c r="E4509" s="1">
        <v>0.98557689999999998</v>
      </c>
      <c r="F4509" s="2">
        <v>1</v>
      </c>
    </row>
    <row r="4510" spans="1:6" x14ac:dyDescent="0.25">
      <c r="A4510" t="s">
        <v>8</v>
      </c>
      <c r="B4510" s="5" t="str">
        <f>HYPERLINK("http://www.broadinstitute.org/gsea/msigdb/cards/GOMF_MINUS_END_DIRECTED_MICROTUBULE_MOTOR_ACTIVITY.html","GOMF_MINUS_END_DIRECTED_MICROTUBULE_MOTOR_ACTIVITY")</f>
        <v>GOMF_MINUS_END_DIRECTED_MICROTUBULE_MOTOR_ACTIVITY</v>
      </c>
      <c r="C4510" s="4">
        <v>20</v>
      </c>
      <c r="D4510" s="3">
        <v>-0.55335599999999996</v>
      </c>
      <c r="E4510" s="1">
        <v>0.98777510000000002</v>
      </c>
      <c r="F4510" s="2">
        <v>1</v>
      </c>
    </row>
    <row r="4511" spans="1:6" x14ac:dyDescent="0.25">
      <c r="A4511" t="s">
        <v>6</v>
      </c>
      <c r="B4511" s="5" t="str">
        <f>HYPERLINK("http://www.broadinstitute.org/gsea/msigdb/cards/GOBP_NEGATIVE_REGULATION_OF_CELL_CYCLE_G2_M_PHASE_TRANSITION.html","GOBP_NEGATIVE_REGULATION_OF_CELL_CYCLE_G2_M_PHASE_TRANSITION")</f>
        <v>GOBP_NEGATIVE_REGULATION_OF_CELL_CYCLE_G2_M_PHASE_TRANSITION</v>
      </c>
      <c r="C4511" s="4">
        <v>68</v>
      </c>
      <c r="D4511" s="3">
        <v>-0.55511193999999997</v>
      </c>
      <c r="E4511" s="1">
        <v>1</v>
      </c>
      <c r="F4511" s="2">
        <v>1</v>
      </c>
    </row>
    <row r="4512" spans="1:6" x14ac:dyDescent="0.25">
      <c r="A4512" t="s">
        <v>6</v>
      </c>
      <c r="B4512" s="5" t="str">
        <f>HYPERLINK("http://www.broadinstitute.org/gsea/msigdb/cards/GOBP_PROTEIN_LOCALIZATION_TO_CYTOSKELETON.html","GOBP_PROTEIN_LOCALIZATION_TO_CYTOSKELETON")</f>
        <v>GOBP_PROTEIN_LOCALIZATION_TO_CYTOSKELETON</v>
      </c>
      <c r="C4512" s="4">
        <v>60</v>
      </c>
      <c r="D4512" s="3">
        <v>-0.56085130000000005</v>
      </c>
      <c r="E4512" s="1">
        <v>1</v>
      </c>
      <c r="F4512" s="2">
        <v>1</v>
      </c>
    </row>
    <row r="4513" spans="1:6" x14ac:dyDescent="0.25">
      <c r="A4513" t="s">
        <v>8</v>
      </c>
      <c r="B4513" s="5" t="str">
        <f>HYPERLINK("http://www.broadinstitute.org/gsea/msigdb/cards/GOMF_TOXIC_SUBSTANCE_BINDING.html","GOMF_TOXIC_SUBSTANCE_BINDING")</f>
        <v>GOMF_TOXIC_SUBSTANCE_BINDING</v>
      </c>
      <c r="C4513" s="4">
        <v>16</v>
      </c>
      <c r="D4513" s="3">
        <v>-0.5616698</v>
      </c>
      <c r="E4513" s="1">
        <v>0.98337289999999999</v>
      </c>
      <c r="F4513" s="2">
        <v>1</v>
      </c>
    </row>
    <row r="4514" spans="1:6" x14ac:dyDescent="0.25">
      <c r="A4514" t="s">
        <v>6</v>
      </c>
      <c r="B4514" s="5" t="str">
        <f>HYPERLINK("http://www.broadinstitute.org/gsea/msigdb/cards/GOBP_POSITIVE_REGULATION_OF_TRIGLYCERIDE_METABOLIC_PROCESS.html","GOBP_POSITIVE_REGULATION_OF_TRIGLYCERIDE_METABOLIC_PROCESS")</f>
        <v>GOBP_POSITIVE_REGULATION_OF_TRIGLYCERIDE_METABOLIC_PROCESS</v>
      </c>
      <c r="C4514" s="4">
        <v>28</v>
      </c>
      <c r="D4514" s="3">
        <v>-0.56801140000000006</v>
      </c>
      <c r="E4514" s="1">
        <v>0.99277110000000002</v>
      </c>
      <c r="F4514" s="2">
        <v>1</v>
      </c>
    </row>
    <row r="4515" spans="1:6" x14ac:dyDescent="0.25">
      <c r="A4515" t="s">
        <v>8</v>
      </c>
      <c r="B4515" s="5" t="str">
        <f>HYPERLINK("http://www.broadinstitute.org/gsea/msigdb/cards/GOMF_OXIDOREDUCTASE_ACTIVITY_ACTING_ON_PAIRED_DONORS_WITH_OXIDATION_OF_A_PAIR_OF_DONORS_RESULTING_IN_THE_REDUCTION_OF_MOLECULAR_OXYGEN_TO_TWO_MOLECULES_OF_WATER.html","GOMF_OXIDOREDUCTASE_ACTIVITY_ACTING_ON_PAIRED_DONORS_WITH_OXIDATION_OF_A_PAIR_OF_DONORS_RESULTING_IN_THE_REDUCTION_OF_MOLECULAR_OXYGEN_TO_TWO_MOLECULES_OF_WATER")</f>
        <v>GOMF_OXIDOREDUCTASE_ACTIVITY_ACTING_ON_PAIRED_DONORS_WITH_OXIDATION_OF_A_PAIR_OF_DONORS_RESULTING_IN_THE_REDUCTION_OF_MOLECULAR_OXYGEN_TO_TWO_MOLECULES_OF_WATER</v>
      </c>
      <c r="C4515" s="4">
        <v>15</v>
      </c>
      <c r="D4515" s="3">
        <v>-0.57388439999999996</v>
      </c>
      <c r="E4515" s="1">
        <v>0.96350365999999998</v>
      </c>
      <c r="F4515" s="2">
        <v>1</v>
      </c>
    </row>
    <row r="4516" spans="1:6" x14ac:dyDescent="0.25">
      <c r="A4516" t="s">
        <v>7</v>
      </c>
      <c r="B4516" s="5" t="str">
        <f>HYPERLINK("http://www.broadinstitute.org/gsea/msigdb/cards/GOCC_SPERM_MIDPIECE.html","GOCC_SPERM_MIDPIECE")</f>
        <v>GOCC_SPERM_MIDPIECE</v>
      </c>
      <c r="C4516" s="4">
        <v>54</v>
      </c>
      <c r="D4516" s="3">
        <v>-0.57950056000000005</v>
      </c>
      <c r="E4516" s="1">
        <v>1</v>
      </c>
      <c r="F4516" s="2">
        <v>0.99954814000000003</v>
      </c>
    </row>
    <row r="4517" spans="1:6" x14ac:dyDescent="0.25">
      <c r="A4517" t="s">
        <v>8</v>
      </c>
      <c r="B4517" s="5" t="str">
        <f>HYPERLINK("http://www.broadinstitute.org/gsea/msigdb/cards/GOMF_DICARBOXYLIC_ACID_TRANSMEMBRANE_TRANSPORTER_ACTIVITY.html","GOMF_DICARBOXYLIC_ACID_TRANSMEMBRANE_TRANSPORTER_ACTIVITY")</f>
        <v>GOMF_DICARBOXYLIC_ACID_TRANSMEMBRANE_TRANSPORTER_ACTIVITY</v>
      </c>
      <c r="C4517" s="4">
        <v>31</v>
      </c>
      <c r="D4517" s="3">
        <v>-0.57998126999999999</v>
      </c>
      <c r="E4517" s="1">
        <v>0.99264704999999998</v>
      </c>
      <c r="F4517" s="2">
        <v>0.99992579999999998</v>
      </c>
    </row>
    <row r="4518" spans="1:6" x14ac:dyDescent="0.25">
      <c r="A4518" t="s">
        <v>10</v>
      </c>
      <c r="B4518" s="5" t="str">
        <f>HYPERLINK("http://www.broadinstitute.org/gsea/msigdb/cards/REACTOME_TRANSPORT_OF_CONNEXONS_TO_THE_PLASMA_MEMBRANE.html","REACTOME_TRANSPORT_OF_CONNEXONS_TO_THE_PLASMA_MEMBRANE")</f>
        <v>REACTOME_TRANSPORT_OF_CONNEXONS_TO_THE_PLASMA_MEMBRANE</v>
      </c>
      <c r="C4518" s="4">
        <v>17</v>
      </c>
      <c r="D4518" s="3">
        <v>-0.58584879999999995</v>
      </c>
      <c r="E4518" s="1">
        <v>0.98795180000000005</v>
      </c>
      <c r="F4518" s="2">
        <v>0.99919409999999997</v>
      </c>
    </row>
    <row r="4519" spans="1:6" x14ac:dyDescent="0.25">
      <c r="A4519" t="s">
        <v>8</v>
      </c>
      <c r="B4519" s="5" t="str">
        <f>HYPERLINK("http://www.broadinstitute.org/gsea/msigdb/cards/GOMF_ALDO_KETO_REDUCTASE_NADP_ACTIVITY.html","GOMF_ALDO_KETO_REDUCTASE_NADP_ACTIVITY")</f>
        <v>GOMF_ALDO_KETO_REDUCTASE_NADP_ACTIVITY</v>
      </c>
      <c r="C4519" s="4">
        <v>32</v>
      </c>
      <c r="D4519" s="3">
        <v>-0.58923539999999996</v>
      </c>
      <c r="E4519" s="1">
        <v>0.99753696000000003</v>
      </c>
      <c r="F4519" s="2">
        <v>0.99894017000000002</v>
      </c>
    </row>
    <row r="4520" spans="1:6" x14ac:dyDescent="0.25">
      <c r="A4520" t="s">
        <v>8</v>
      </c>
      <c r="B4520" s="5" t="str">
        <f>HYPERLINK("http://www.broadinstitute.org/gsea/msigdb/cards/GOMF_C4_DICARBOXYLATE_TRANSMEMBRANE_TRANSPORTER_ACTIVITY.html","GOMF_C4_DICARBOXYLATE_TRANSMEMBRANE_TRANSPORTER_ACTIVITY")</f>
        <v>GOMF_C4_DICARBOXYLATE_TRANSMEMBRANE_TRANSPORTER_ACTIVITY</v>
      </c>
      <c r="C4520" s="4">
        <v>15</v>
      </c>
      <c r="D4520" s="3">
        <v>-0.60022989999999998</v>
      </c>
      <c r="E4520" s="1">
        <v>0.95116279999999997</v>
      </c>
      <c r="F4520" s="2">
        <v>0.99686180000000002</v>
      </c>
    </row>
    <row r="4521" spans="1:6" x14ac:dyDescent="0.25">
      <c r="A4521" t="s">
        <v>8</v>
      </c>
      <c r="B4521" s="5" t="str">
        <f>HYPERLINK("http://www.broadinstitute.org/gsea/msigdb/cards/GOMF_TRNA_METHYLTRANSFERASE_ACTIVITY.html","GOMF_TRNA_METHYLTRANSFERASE_ACTIVITY")</f>
        <v>GOMF_TRNA_METHYLTRANSFERASE_ACTIVITY</v>
      </c>
      <c r="C4521" s="4">
        <v>32</v>
      </c>
      <c r="D4521" s="3">
        <v>-0.60276764999999999</v>
      </c>
      <c r="E4521" s="1">
        <v>0.97176470000000004</v>
      </c>
      <c r="F4521" s="2">
        <v>0.99665119999999996</v>
      </c>
    </row>
    <row r="4522" spans="1:6" x14ac:dyDescent="0.25">
      <c r="A4522" t="s">
        <v>11</v>
      </c>
      <c r="B4522" s="5" t="str">
        <f>HYPERLINK("http://www.broadinstitute.org/gsea/msigdb/cards/WP_TRIACYLGLYCERIDE_SYNTHESIS.html","WP_TRIACYLGLYCERIDE_SYNTHESIS")</f>
        <v>WP_TRIACYLGLYCERIDE_SYNTHESIS</v>
      </c>
      <c r="C4522" s="4">
        <v>22</v>
      </c>
      <c r="D4522" s="3">
        <v>-0.60580659999999997</v>
      </c>
      <c r="E4522" s="1">
        <v>0.9736842</v>
      </c>
      <c r="F4522" s="2">
        <v>0.99631420000000004</v>
      </c>
    </row>
    <row r="4523" spans="1:6" x14ac:dyDescent="0.25">
      <c r="A4523" t="s">
        <v>8</v>
      </c>
      <c r="B4523" s="5" t="str">
        <f>HYPERLINK("http://www.broadinstitute.org/gsea/msigdb/cards/GOMF_OUTWARD_RECTIFIER_POTASSIUM_CHANNEL_ACTIVITY.html","GOMF_OUTWARD_RECTIFIER_POTASSIUM_CHANNEL_ACTIVITY")</f>
        <v>GOMF_OUTWARD_RECTIFIER_POTASSIUM_CHANNEL_ACTIVITY</v>
      </c>
      <c r="C4523" s="4">
        <v>25</v>
      </c>
      <c r="D4523" s="3">
        <v>-0.60823196000000002</v>
      </c>
      <c r="E4523" s="1">
        <v>0.96658100000000002</v>
      </c>
      <c r="F4523" s="2">
        <v>0.99613079999999998</v>
      </c>
    </row>
    <row r="4524" spans="1:6" x14ac:dyDescent="0.25">
      <c r="A4524" t="s">
        <v>6</v>
      </c>
      <c r="B4524" s="5" t="str">
        <f>HYPERLINK("http://www.broadinstitute.org/gsea/msigdb/cards/GOBP_BILE_ACID_BIOSYNTHETIC_PROCESS.html","GOBP_BILE_ACID_BIOSYNTHETIC_PROCESS")</f>
        <v>GOBP_BILE_ACID_BIOSYNTHETIC_PROCESS</v>
      </c>
      <c r="C4524" s="4">
        <v>31</v>
      </c>
      <c r="D4524" s="3">
        <v>-0.61104815999999995</v>
      </c>
      <c r="E4524" s="1">
        <v>0.98753120000000005</v>
      </c>
      <c r="F4524" s="2">
        <v>0.99583215000000003</v>
      </c>
    </row>
    <row r="4525" spans="1:6" x14ac:dyDescent="0.25">
      <c r="A4525" t="s">
        <v>8</v>
      </c>
      <c r="B4525" s="5" t="str">
        <f>HYPERLINK("http://www.broadinstitute.org/gsea/msigdb/cards/GOMF_VOLTAGE_GATED_POTASSIUM_CHANNEL_ACTIVITY.html","GOMF_VOLTAGE_GATED_POTASSIUM_CHANNEL_ACTIVITY")</f>
        <v>GOMF_VOLTAGE_GATED_POTASSIUM_CHANNEL_ACTIVITY</v>
      </c>
      <c r="C4525" s="4">
        <v>95</v>
      </c>
      <c r="D4525" s="3">
        <v>-0.61214374999999999</v>
      </c>
      <c r="E4525" s="1">
        <v>1</v>
      </c>
      <c r="F4525" s="2">
        <v>0.99598880000000001</v>
      </c>
    </row>
    <row r="4526" spans="1:6" x14ac:dyDescent="0.25">
      <c r="A4526" t="s">
        <v>7</v>
      </c>
      <c r="B4526" s="5" t="str">
        <f>HYPERLINK("http://www.broadinstitute.org/gsea/msigdb/cards/GOCC_CELL_CORTEX_REGION.html","GOCC_CELL_CORTEX_REGION")</f>
        <v>GOCC_CELL_CORTEX_REGION</v>
      </c>
      <c r="C4526" s="4">
        <v>47</v>
      </c>
      <c r="D4526" s="3">
        <v>-0.61351292999999996</v>
      </c>
      <c r="E4526" s="1">
        <v>0.98891969999999996</v>
      </c>
      <c r="F4526" s="2">
        <v>0.99604212999999997</v>
      </c>
    </row>
    <row r="4527" spans="1:6" x14ac:dyDescent="0.25">
      <c r="A4527" t="s">
        <v>6</v>
      </c>
      <c r="B4527" s="5" t="str">
        <f>HYPERLINK("http://www.broadinstitute.org/gsea/msigdb/cards/GOBP_SKELETAL_MUSCLE_ACETYLCHOLINE_GATED_CHANNEL_CLUSTERING.html","GOBP_SKELETAL_MUSCLE_ACETYLCHOLINE_GATED_CHANNEL_CLUSTERING")</f>
        <v>GOBP_SKELETAL_MUSCLE_ACETYLCHOLINE_GATED_CHANNEL_CLUSTERING</v>
      </c>
      <c r="C4527" s="4">
        <v>15</v>
      </c>
      <c r="D4527" s="3">
        <v>-0.61399840000000006</v>
      </c>
      <c r="E4527" s="1">
        <v>0.94117649999999997</v>
      </c>
      <c r="F4527" s="2">
        <v>0.99636919999999995</v>
      </c>
    </row>
    <row r="4528" spans="1:6" x14ac:dyDescent="0.25">
      <c r="A4528" t="s">
        <v>6</v>
      </c>
      <c r="B4528" s="5" t="str">
        <f>HYPERLINK("http://www.broadinstitute.org/gsea/msigdb/cards/GOBP_2_OXOGLUTARATE_METABOLIC_PROCESS.html","GOBP_2_OXOGLUTARATE_METABOLIC_PROCESS")</f>
        <v>GOBP_2_OXOGLUTARATE_METABOLIC_PROCESS</v>
      </c>
      <c r="C4528" s="4">
        <v>17</v>
      </c>
      <c r="D4528" s="3">
        <v>-0.61700206999999996</v>
      </c>
      <c r="E4528" s="1">
        <v>0.94736843999999998</v>
      </c>
      <c r="F4528" s="2">
        <v>0.99596183999999999</v>
      </c>
    </row>
    <row r="4529" spans="1:6" x14ac:dyDescent="0.25">
      <c r="A4529" t="s">
        <v>10</v>
      </c>
      <c r="B4529" s="5" t="str">
        <f>HYPERLINK("http://www.broadinstitute.org/gsea/msigdb/cards/REACTOME_PI_3K_CASCADE_FGFR4.html","REACTOME_PI_3K_CASCADE_FGFR4")</f>
        <v>REACTOME_PI_3K_CASCADE_FGFR4</v>
      </c>
      <c r="C4529" s="4">
        <v>20</v>
      </c>
      <c r="D4529" s="3">
        <v>-0.62248534</v>
      </c>
      <c r="E4529" s="1">
        <v>0.96650720000000001</v>
      </c>
      <c r="F4529" s="2">
        <v>0.99468935000000003</v>
      </c>
    </row>
    <row r="4530" spans="1:6" x14ac:dyDescent="0.25">
      <c r="A4530" t="s">
        <v>8</v>
      </c>
      <c r="B4530" s="5" t="str">
        <f>HYPERLINK("http://www.broadinstitute.org/gsea/msigdb/cards/GOMF_DYNEIN_COMPLEX_BINDING.html","GOMF_DYNEIN_COMPLEX_BINDING")</f>
        <v>GOMF_DYNEIN_COMPLEX_BINDING</v>
      </c>
      <c r="C4530" s="4">
        <v>23</v>
      </c>
      <c r="D4530" s="3">
        <v>-0.62499099999999996</v>
      </c>
      <c r="E4530" s="1">
        <v>0.95203835000000003</v>
      </c>
      <c r="F4530" s="2">
        <v>0.99435949999999995</v>
      </c>
    </row>
    <row r="4531" spans="1:6" x14ac:dyDescent="0.25">
      <c r="A4531" t="s">
        <v>8</v>
      </c>
      <c r="B4531" s="5" t="str">
        <f>HYPERLINK("http://www.broadinstitute.org/gsea/msigdb/cards/GOMF_POTASSIUM_CHANNEL_ACTIVITY.html","GOMF_POTASSIUM_CHANNEL_ACTIVITY")</f>
        <v>GOMF_POTASSIUM_CHANNEL_ACTIVITY</v>
      </c>
      <c r="C4531" s="4">
        <v>119</v>
      </c>
      <c r="D4531" s="3">
        <v>-0.6275018</v>
      </c>
      <c r="E4531" s="1">
        <v>1</v>
      </c>
      <c r="F4531" s="2">
        <v>0.99396324000000003</v>
      </c>
    </row>
    <row r="4532" spans="1:6" x14ac:dyDescent="0.25">
      <c r="A4532" t="s">
        <v>8</v>
      </c>
      <c r="B4532" s="5" t="str">
        <f>HYPERLINK("http://www.broadinstitute.org/gsea/msigdb/cards/GOMF_RNA_CAP_BINDING.html","GOMF_RNA_CAP_BINDING")</f>
        <v>GOMF_RNA_CAP_BINDING</v>
      </c>
      <c r="C4532" s="4">
        <v>16</v>
      </c>
      <c r="D4532" s="3">
        <v>-0.62809179999999998</v>
      </c>
      <c r="E4532" s="1">
        <v>0.94484409999999996</v>
      </c>
      <c r="F4532" s="2">
        <v>0.99423620000000001</v>
      </c>
    </row>
    <row r="4533" spans="1:6" x14ac:dyDescent="0.25">
      <c r="A4533" t="s">
        <v>6</v>
      </c>
      <c r="B4533" s="5" t="str">
        <f>HYPERLINK("http://www.broadinstitute.org/gsea/msigdb/cards/GOBP_RETINOL_METABOLIC_PROCESS.html","GOBP_RETINOL_METABOLIC_PROCESS")</f>
        <v>GOBP_RETINOL_METABOLIC_PROCESS</v>
      </c>
      <c r="C4533" s="4">
        <v>31</v>
      </c>
      <c r="D4533" s="3">
        <v>-0.62865800000000005</v>
      </c>
      <c r="E4533" s="1">
        <v>0.97872340000000002</v>
      </c>
      <c r="F4533" s="2">
        <v>0.99451769999999995</v>
      </c>
    </row>
    <row r="4534" spans="1:6" x14ac:dyDescent="0.25">
      <c r="A4534" t="s">
        <v>6</v>
      </c>
      <c r="B4534" s="5" t="str">
        <f>HYPERLINK("http://www.broadinstitute.org/gsea/msigdb/cards/GOBP_POSITIVE_REGULATION_OF_TRIGLYCERIDE_BIOSYNTHETIC_PROCESS.html","GOBP_POSITIVE_REGULATION_OF_TRIGLYCERIDE_BIOSYNTHETIC_PROCESS")</f>
        <v>GOBP_POSITIVE_REGULATION_OF_TRIGLYCERIDE_BIOSYNTHETIC_PROCESS</v>
      </c>
      <c r="C4534" s="4">
        <v>19</v>
      </c>
      <c r="D4534" s="3">
        <v>-0.6310926</v>
      </c>
      <c r="E4534" s="1">
        <v>0.94724220000000003</v>
      </c>
      <c r="F4534" s="2">
        <v>0.99411212999999998</v>
      </c>
    </row>
    <row r="4535" spans="1:6" x14ac:dyDescent="0.25">
      <c r="A4535" t="s">
        <v>7</v>
      </c>
      <c r="B4535" s="5" t="str">
        <f>HYPERLINK("http://www.broadinstitute.org/gsea/msigdb/cards/GOCC_PHOTORECEPTOR_RIBBON_SYNAPSE.html","GOCC_PHOTORECEPTOR_RIBBON_SYNAPSE")</f>
        <v>GOCC_PHOTORECEPTOR_RIBBON_SYNAPSE</v>
      </c>
      <c r="C4535" s="4">
        <v>18</v>
      </c>
      <c r="D4535" s="3">
        <v>-0.63281332999999995</v>
      </c>
      <c r="E4535" s="1">
        <v>0.92307689999999998</v>
      </c>
      <c r="F4535" s="2">
        <v>0.99392360000000002</v>
      </c>
    </row>
    <row r="4536" spans="1:6" x14ac:dyDescent="0.25">
      <c r="A4536" t="s">
        <v>6</v>
      </c>
      <c r="B4536" s="5" t="str">
        <f>HYPERLINK("http://www.broadinstitute.org/gsea/msigdb/cards/GOBP_PIGMENT_CELL_DIFFERENTIATION.html","GOBP_PIGMENT_CELL_DIFFERENTIATION")</f>
        <v>GOBP_PIGMENT_CELL_DIFFERENTIATION</v>
      </c>
      <c r="C4536" s="4">
        <v>39</v>
      </c>
      <c r="D4536" s="3">
        <v>-0.6349148</v>
      </c>
      <c r="E4536" s="1">
        <v>0.98095239999999995</v>
      </c>
      <c r="F4536" s="2">
        <v>0.99360680000000001</v>
      </c>
    </row>
    <row r="4537" spans="1:6" x14ac:dyDescent="0.25">
      <c r="A4537" t="s">
        <v>7</v>
      </c>
      <c r="B4537" s="5" t="str">
        <f>HYPERLINK("http://www.broadinstitute.org/gsea/msigdb/cards/GOCC_RIBBON_SYNAPSE.html","GOCC_RIBBON_SYNAPSE")</f>
        <v>GOCC_RIBBON_SYNAPSE</v>
      </c>
      <c r="C4537" s="4">
        <v>29</v>
      </c>
      <c r="D4537" s="3">
        <v>-0.63732546999999995</v>
      </c>
      <c r="E4537" s="1">
        <v>0.95560750000000005</v>
      </c>
      <c r="F4537" s="2">
        <v>0.99316305000000005</v>
      </c>
    </row>
    <row r="4538" spans="1:6" x14ac:dyDescent="0.25">
      <c r="A4538" t="s">
        <v>8</v>
      </c>
      <c r="B4538" s="5" t="str">
        <f>HYPERLINK("http://www.broadinstitute.org/gsea/msigdb/cards/GOMF_FOLIC_ACID_BINDING.html","GOMF_FOLIC_ACID_BINDING")</f>
        <v>GOMF_FOLIC_ACID_BINDING</v>
      </c>
      <c r="C4538" s="4">
        <v>15</v>
      </c>
      <c r="D4538" s="3">
        <v>-0.63780546000000005</v>
      </c>
      <c r="E4538" s="1">
        <v>0.92216980000000004</v>
      </c>
      <c r="F4538" s="2">
        <v>0.99345326</v>
      </c>
    </row>
    <row r="4539" spans="1:6" x14ac:dyDescent="0.25">
      <c r="A4539" t="s">
        <v>10</v>
      </c>
      <c r="B4539" s="5" t="str">
        <f>HYPERLINK("http://www.broadinstitute.org/gsea/msigdb/cards/REACTOME_DNA_STRAND_ELONGATION.html","REACTOME_DNA_STRAND_ELONGATION")</f>
        <v>REACTOME_DNA_STRAND_ELONGATION</v>
      </c>
      <c r="C4539" s="4">
        <v>23</v>
      </c>
      <c r="D4539" s="3">
        <v>-0.63836824999999997</v>
      </c>
      <c r="E4539" s="1">
        <v>0.97129184000000002</v>
      </c>
      <c r="F4539" s="2">
        <v>0.99371200000000004</v>
      </c>
    </row>
    <row r="4540" spans="1:6" x14ac:dyDescent="0.25">
      <c r="A4540" t="s">
        <v>8</v>
      </c>
      <c r="B4540" s="5" t="str">
        <f>HYPERLINK("http://www.broadinstitute.org/gsea/msigdb/cards/GOMF_POTASSIUM_ION_TRANSMEMBRANE_TRANSPORTER_ACTIVITY.html","GOMF_POTASSIUM_ION_TRANSMEMBRANE_TRANSPORTER_ACTIVITY")</f>
        <v>GOMF_POTASSIUM_ION_TRANSMEMBRANE_TRANSPORTER_ACTIVITY</v>
      </c>
      <c r="C4540" s="4">
        <v>157</v>
      </c>
      <c r="D4540" s="3">
        <v>-0.63994145000000002</v>
      </c>
      <c r="E4540" s="1">
        <v>1</v>
      </c>
      <c r="F4540" s="2">
        <v>0.99355539999999998</v>
      </c>
    </row>
    <row r="4541" spans="1:6" x14ac:dyDescent="0.25">
      <c r="A4541" t="s">
        <v>6</v>
      </c>
      <c r="B4541" s="5" t="str">
        <f>HYPERLINK("http://www.broadinstitute.org/gsea/msigdb/cards/GOBP_CENTROSOME_DUPLICATION.html","GOBP_CENTROSOME_DUPLICATION")</f>
        <v>GOBP_CENTROSOME_DUPLICATION</v>
      </c>
      <c r="C4541" s="4">
        <v>75</v>
      </c>
      <c r="D4541" s="3">
        <v>-0.64020776999999995</v>
      </c>
      <c r="E4541" s="1">
        <v>0.99718309999999999</v>
      </c>
      <c r="F4541" s="2">
        <v>0.99392499999999995</v>
      </c>
    </row>
    <row r="4542" spans="1:6" x14ac:dyDescent="0.25">
      <c r="A4542" t="s">
        <v>8</v>
      </c>
      <c r="B4542" s="5" t="str">
        <f>HYPERLINK("http://www.broadinstitute.org/gsea/msigdb/cards/GOMF_ALDITOL_NADPPLUS_1_OXIDOREDUCTASE_ACTIVITY.html","GOMF_ALDITOL_NADPPLUS_1_OXIDOREDUCTASE_ACTIVITY")</f>
        <v>GOMF_ALDITOL_NADPPLUS_1_OXIDOREDUCTASE_ACTIVITY</v>
      </c>
      <c r="C4542" s="4">
        <v>18</v>
      </c>
      <c r="D4542" s="3">
        <v>-0.64064869999999996</v>
      </c>
      <c r="E4542" s="1">
        <v>0.95011880000000004</v>
      </c>
      <c r="F4542" s="2">
        <v>0.99423057000000004</v>
      </c>
    </row>
    <row r="4543" spans="1:6" x14ac:dyDescent="0.25">
      <c r="A4543" t="s">
        <v>6</v>
      </c>
      <c r="B4543" s="5" t="str">
        <f>HYPERLINK("http://www.broadinstitute.org/gsea/msigdb/cards/GOBP_CELLULAR_MODIFIED_AMINO_ACID_CATABOLIC_PROCESS.html","GOBP_CELLULAR_MODIFIED_AMINO_ACID_CATABOLIC_PROCESS")</f>
        <v>GOBP_CELLULAR_MODIFIED_AMINO_ACID_CATABOLIC_PROCESS</v>
      </c>
      <c r="C4543" s="4">
        <v>21</v>
      </c>
      <c r="D4543" s="3">
        <v>-0.64106439999999998</v>
      </c>
      <c r="E4543" s="1">
        <v>0.96575343999999996</v>
      </c>
      <c r="F4543" s="2">
        <v>0.99455106000000004</v>
      </c>
    </row>
    <row r="4544" spans="1:6" x14ac:dyDescent="0.25">
      <c r="A4544" t="s">
        <v>6</v>
      </c>
      <c r="B4544" s="5" t="str">
        <f>HYPERLINK("http://www.broadinstitute.org/gsea/msigdb/cards/GOBP_SPERM_AXONEME_ASSEMBLY.html","GOBP_SPERM_AXONEME_ASSEMBLY")</f>
        <v>GOBP_SPERM_AXONEME_ASSEMBLY</v>
      </c>
      <c r="C4544" s="4">
        <v>30</v>
      </c>
      <c r="D4544" s="3">
        <v>-0.64395093999999997</v>
      </c>
      <c r="E4544" s="1">
        <v>0.96666664000000002</v>
      </c>
      <c r="F4544" s="2">
        <v>0.99379050000000002</v>
      </c>
    </row>
    <row r="4545" spans="1:6" x14ac:dyDescent="0.25">
      <c r="A4545" t="s">
        <v>8</v>
      </c>
      <c r="B4545" s="5" t="str">
        <f>HYPERLINK("http://www.broadinstitute.org/gsea/msigdb/cards/GOMF_NEUROPEPTIDE_BINDING.html","GOMF_NEUROPEPTIDE_BINDING")</f>
        <v>GOMF_NEUROPEPTIDE_BINDING</v>
      </c>
      <c r="C4545" s="4">
        <v>35</v>
      </c>
      <c r="D4545" s="3">
        <v>-0.64603949999999999</v>
      </c>
      <c r="E4545" s="1">
        <v>0.96473549999999997</v>
      </c>
      <c r="F4545" s="2">
        <v>0.99339060000000001</v>
      </c>
    </row>
    <row r="4546" spans="1:6" x14ac:dyDescent="0.25">
      <c r="A4546" t="s">
        <v>6</v>
      </c>
      <c r="B4546" s="5" t="str">
        <f>HYPERLINK("http://www.broadinstitute.org/gsea/msigdb/cards/GOBP_EATING_BEHAVIOR.html","GOBP_EATING_BEHAVIOR")</f>
        <v>GOBP_EATING_BEHAVIOR</v>
      </c>
      <c r="C4546" s="4">
        <v>50</v>
      </c>
      <c r="D4546" s="3">
        <v>-0.64771590000000001</v>
      </c>
      <c r="E4546" s="1">
        <v>0.99244330000000003</v>
      </c>
      <c r="F4546" s="2">
        <v>0.99312560000000005</v>
      </c>
    </row>
    <row r="4547" spans="1:6" x14ac:dyDescent="0.25">
      <c r="A4547" t="s">
        <v>6</v>
      </c>
      <c r="B4547" s="5" t="str">
        <f>HYPERLINK("http://www.broadinstitute.org/gsea/msigdb/cards/GOBP_ANATOMICAL_STRUCTURE_REGRESSION.html","GOBP_ANATOMICAL_STRUCTURE_REGRESSION")</f>
        <v>GOBP_ANATOMICAL_STRUCTURE_REGRESSION</v>
      </c>
      <c r="C4547" s="4">
        <v>19</v>
      </c>
      <c r="D4547" s="3">
        <v>-0.64889233999999996</v>
      </c>
      <c r="E4547" s="1">
        <v>0.93017459999999996</v>
      </c>
      <c r="F4547" s="2">
        <v>0.99309190000000003</v>
      </c>
    </row>
    <row r="4548" spans="1:6" x14ac:dyDescent="0.25">
      <c r="A4548" t="s">
        <v>6</v>
      </c>
      <c r="B4548" s="5" t="str">
        <f>HYPERLINK("http://www.broadinstitute.org/gsea/msigdb/cards/GOBP_REGULATION_OF_FEEDING_BEHAVIOR.html","GOBP_REGULATION_OF_FEEDING_BEHAVIOR")</f>
        <v>GOBP_REGULATION_OF_FEEDING_BEHAVIOR</v>
      </c>
      <c r="C4548" s="4">
        <v>40</v>
      </c>
      <c r="D4548" s="3">
        <v>-0.64959889999999998</v>
      </c>
      <c r="E4548" s="1">
        <v>0.97698209999999996</v>
      </c>
      <c r="F4548" s="2">
        <v>0.99323799999999995</v>
      </c>
    </row>
    <row r="4549" spans="1:6" x14ac:dyDescent="0.25">
      <c r="A4549" t="s">
        <v>8</v>
      </c>
      <c r="B4549" s="5" t="str">
        <f>HYPERLINK("http://www.broadinstitute.org/gsea/msigdb/cards/GOMF_BICARBONATE_TRANSMEMBRANE_TRANSPORTER_ACTIVITY.html","GOMF_BICARBONATE_TRANSMEMBRANE_TRANSPORTER_ACTIVITY")</f>
        <v>GOMF_BICARBONATE_TRANSMEMBRANE_TRANSPORTER_ACTIVITY</v>
      </c>
      <c r="C4549" s="4">
        <v>29</v>
      </c>
      <c r="D4549" s="3">
        <v>-0.64970110000000003</v>
      </c>
      <c r="E4549" s="1">
        <v>0.96192896000000006</v>
      </c>
      <c r="F4549" s="2">
        <v>0.99367550000000004</v>
      </c>
    </row>
    <row r="4550" spans="1:6" x14ac:dyDescent="0.25">
      <c r="A4550" t="s">
        <v>6</v>
      </c>
      <c r="B4550" s="5" t="str">
        <f>HYPERLINK("http://www.broadinstitute.org/gsea/msigdb/cards/GOBP_REGULATION_OF_TRIGLYCERIDE_BIOSYNTHETIC_PROCESS.html","GOBP_REGULATION_OF_TRIGLYCERIDE_BIOSYNTHETIC_PROCESS")</f>
        <v>GOBP_REGULATION_OF_TRIGLYCERIDE_BIOSYNTHETIC_PROCESS</v>
      </c>
      <c r="C4550" s="4">
        <v>26</v>
      </c>
      <c r="D4550" s="3">
        <v>-0.6497058</v>
      </c>
      <c r="E4550" s="1">
        <v>0.96464645999999998</v>
      </c>
      <c r="F4550" s="2">
        <v>0.99415200000000004</v>
      </c>
    </row>
    <row r="4551" spans="1:6" x14ac:dyDescent="0.25">
      <c r="A4551" t="s">
        <v>8</v>
      </c>
      <c r="B4551" s="5" t="str">
        <f>HYPERLINK("http://www.broadinstitute.org/gsea/msigdb/cards/GOMF_THIOLESTER_HYDROLASE_ACTIVITY.html","GOMF_THIOLESTER_HYDROLASE_ACTIVITY")</f>
        <v>GOMF_THIOLESTER_HYDROLASE_ACTIVITY</v>
      </c>
      <c r="C4551" s="4">
        <v>47</v>
      </c>
      <c r="D4551" s="3">
        <v>-0.65035825999999997</v>
      </c>
      <c r="E4551" s="1">
        <v>0.98128340000000003</v>
      </c>
      <c r="F4551" s="2">
        <v>0.9943379</v>
      </c>
    </row>
    <row r="4552" spans="1:6" x14ac:dyDescent="0.25">
      <c r="A4552" t="s">
        <v>6</v>
      </c>
      <c r="B4552" s="5" t="str">
        <f>HYPERLINK("http://www.broadinstitute.org/gsea/msigdb/cards/GOBP_KINETOCHORE_ORGANIZATION.html","GOBP_KINETOCHORE_ORGANIZATION")</f>
        <v>GOBP_KINETOCHORE_ORGANIZATION</v>
      </c>
      <c r="C4552" s="4">
        <v>20</v>
      </c>
      <c r="D4552" s="3">
        <v>-0.65332115000000002</v>
      </c>
      <c r="E4552" s="1">
        <v>0.93500000000000005</v>
      </c>
      <c r="F4552" s="2">
        <v>0.99345315000000001</v>
      </c>
    </row>
    <row r="4553" spans="1:6" x14ac:dyDescent="0.25">
      <c r="A4553" t="s">
        <v>10</v>
      </c>
      <c r="B4553" s="5" t="str">
        <f>HYPERLINK("http://www.broadinstitute.org/gsea/msigdb/cards/REACTOME_COPI_INDEPENDENT_GOLGI_TO_ER_RETROGRADE_TRAFFIC.html","REACTOME_COPI_INDEPENDENT_GOLGI_TO_ER_RETROGRADE_TRAFFIC")</f>
        <v>REACTOME_COPI_INDEPENDENT_GOLGI_TO_ER_RETROGRADE_TRAFFIC</v>
      </c>
      <c r="C4553" s="4">
        <v>47</v>
      </c>
      <c r="D4553" s="3">
        <v>-0.65509770000000001</v>
      </c>
      <c r="E4553" s="1">
        <v>0.9750624</v>
      </c>
      <c r="F4553" s="2">
        <v>0.99309440000000004</v>
      </c>
    </row>
    <row r="4554" spans="1:6" x14ac:dyDescent="0.25">
      <c r="A4554" t="s">
        <v>8</v>
      </c>
      <c r="B4554" s="5" t="str">
        <f>HYPERLINK("http://www.broadinstitute.org/gsea/msigdb/cards/GOMF_SODIUM_ION_TRANSMEMBRANE_TRANSPORTER_ACTIVITY.html","GOMF_SODIUM_ION_TRANSMEMBRANE_TRANSPORTER_ACTIVITY")</f>
        <v>GOMF_SODIUM_ION_TRANSMEMBRANE_TRANSPORTER_ACTIVITY</v>
      </c>
      <c r="C4554" s="4">
        <v>158</v>
      </c>
      <c r="D4554" s="3">
        <v>-0.65556437000000001</v>
      </c>
      <c r="E4554" s="1">
        <v>1</v>
      </c>
      <c r="F4554" s="2">
        <v>0.99334054999999999</v>
      </c>
    </row>
    <row r="4555" spans="1:6" x14ac:dyDescent="0.25">
      <c r="A4555" t="s">
        <v>8</v>
      </c>
      <c r="B4555" s="5" t="str">
        <f>HYPERLINK("http://www.broadinstitute.org/gsea/msigdb/cards/GOMF_SOLUTE_POTASSIUM_ANTIPORTER_ACTIVITY.html","GOMF_SOLUTE_POTASSIUM_ANTIPORTER_ACTIVITY")</f>
        <v>GOMF_SOLUTE_POTASSIUM_ANTIPORTER_ACTIVITY</v>
      </c>
      <c r="C4555" s="4">
        <v>18</v>
      </c>
      <c r="D4555" s="3">
        <v>-0.65558369999999999</v>
      </c>
      <c r="E4555" s="1">
        <v>0.94226330000000003</v>
      </c>
      <c r="F4555" s="2">
        <v>0.99381220000000003</v>
      </c>
    </row>
    <row r="4556" spans="1:6" x14ac:dyDescent="0.25">
      <c r="A4556" t="s">
        <v>7</v>
      </c>
      <c r="B4556" s="5" t="str">
        <f>HYPERLINK("http://www.broadinstitute.org/gsea/msigdb/cards/GOCC_AMPA_GLUTAMATE_RECEPTOR_COMPLEX.html","GOCC_AMPA_GLUTAMATE_RECEPTOR_COMPLEX")</f>
        <v>GOCC_AMPA_GLUTAMATE_RECEPTOR_COMPLEX</v>
      </c>
      <c r="C4556" s="4">
        <v>30</v>
      </c>
      <c r="D4556" s="3">
        <v>-0.65566380000000002</v>
      </c>
      <c r="E4556" s="1">
        <v>0.9609375</v>
      </c>
      <c r="F4556" s="2">
        <v>0.9942531</v>
      </c>
    </row>
    <row r="4557" spans="1:6" x14ac:dyDescent="0.25">
      <c r="A4557" t="s">
        <v>8</v>
      </c>
      <c r="B4557" s="5" t="str">
        <f>HYPERLINK("http://www.broadinstitute.org/gsea/msigdb/cards/GOMF_STRUCTURAL_CONSTITUENT_OF_POSTSYNAPSE.html","GOMF_STRUCTURAL_CONSTITUENT_OF_POSTSYNAPSE")</f>
        <v>GOMF_STRUCTURAL_CONSTITUENT_OF_POSTSYNAPSE</v>
      </c>
      <c r="C4557" s="4">
        <v>27</v>
      </c>
      <c r="D4557" s="3">
        <v>-0.65752195999999996</v>
      </c>
      <c r="E4557" s="1">
        <v>0.94962215000000005</v>
      </c>
      <c r="F4557" s="2">
        <v>0.99385785999999998</v>
      </c>
    </row>
    <row r="4558" spans="1:6" x14ac:dyDescent="0.25">
      <c r="A4558" t="s">
        <v>6</v>
      </c>
      <c r="B4558" s="5" t="str">
        <f>HYPERLINK("http://www.broadinstitute.org/gsea/msigdb/cards/GOBP_REGULATION_OF_PRESYNAPTIC_CYTOSOLIC_CALCIUM_ION_CONCENTRATION.html","GOBP_REGULATION_OF_PRESYNAPTIC_CYTOSOLIC_CALCIUM_ION_CONCENTRATION")</f>
        <v>GOBP_REGULATION_OF_PRESYNAPTIC_CYTOSOLIC_CALCIUM_ION_CONCENTRATION</v>
      </c>
      <c r="C4558" s="4">
        <v>20</v>
      </c>
      <c r="D4558" s="3">
        <v>-0.65955989999999998</v>
      </c>
      <c r="E4558" s="1">
        <v>0.92383294999999999</v>
      </c>
      <c r="F4558" s="2">
        <v>0.99332160000000003</v>
      </c>
    </row>
    <row r="4559" spans="1:6" x14ac:dyDescent="0.25">
      <c r="A4559" t="s">
        <v>8</v>
      </c>
      <c r="B4559" s="5" t="str">
        <f>HYPERLINK("http://www.broadinstitute.org/gsea/msigdb/cards/GOMF_ALPHA_ACTININ_BINDING.html","GOMF_ALPHA_ACTININ_BINDING")</f>
        <v>GOMF_ALPHA_ACTININ_BINDING</v>
      </c>
      <c r="C4559" s="4">
        <v>29</v>
      </c>
      <c r="D4559" s="3">
        <v>-0.66101019999999999</v>
      </c>
      <c r="E4559" s="1">
        <v>0.95863750000000003</v>
      </c>
      <c r="F4559" s="2">
        <v>0.99309236000000001</v>
      </c>
    </row>
    <row r="4560" spans="1:6" x14ac:dyDescent="0.25">
      <c r="A4560" t="s">
        <v>7</v>
      </c>
      <c r="B4560" s="5" t="str">
        <f>HYPERLINK("http://www.broadinstitute.org/gsea/msigdb/cards/GOCC_ESCRT_COMPLEX.html","GOCC_ESCRT_COMPLEX")</f>
        <v>GOCC_ESCRT_COMPLEX</v>
      </c>
      <c r="C4560" s="4">
        <v>26</v>
      </c>
      <c r="D4560" s="3">
        <v>-0.66153364999999997</v>
      </c>
      <c r="E4560" s="1">
        <v>0.95194506999999995</v>
      </c>
      <c r="F4560" s="2">
        <v>0.99330633999999995</v>
      </c>
    </row>
    <row r="4561" spans="1:6" x14ac:dyDescent="0.25">
      <c r="A4561" t="s">
        <v>6</v>
      </c>
      <c r="B4561" s="5" t="str">
        <f>HYPERLINK("http://www.broadinstitute.org/gsea/msigdb/cards/GOBP_NEUTRAL_LIPID_CATABOLIC_PROCESS.html","GOBP_NEUTRAL_LIPID_CATABOLIC_PROCESS")</f>
        <v>GOBP_NEUTRAL_LIPID_CATABOLIC_PROCESS</v>
      </c>
      <c r="C4561" s="4">
        <v>40</v>
      </c>
      <c r="D4561" s="3">
        <v>-0.66366749999999997</v>
      </c>
      <c r="E4561" s="1">
        <v>0.97136040000000001</v>
      </c>
      <c r="F4561" s="2">
        <v>0.99270754999999999</v>
      </c>
    </row>
    <row r="4562" spans="1:6" x14ac:dyDescent="0.25">
      <c r="A4562" t="s">
        <v>11</v>
      </c>
      <c r="B4562" s="5" t="str">
        <f>HYPERLINK("http://www.broadinstitute.org/gsea/msigdb/cards/WP_FATTY_ACID_BETA_OXIDATION.html","WP_FATTY_ACID_BETA_OXIDATION")</f>
        <v>WP_FATTY_ACID_BETA_OXIDATION</v>
      </c>
      <c r="C4562" s="4">
        <v>33</v>
      </c>
      <c r="D4562" s="3">
        <v>-0.66526353000000005</v>
      </c>
      <c r="E4562" s="1">
        <v>0.94763094000000003</v>
      </c>
      <c r="F4562" s="2">
        <v>0.99236259999999998</v>
      </c>
    </row>
    <row r="4563" spans="1:6" x14ac:dyDescent="0.25">
      <c r="A4563" t="s">
        <v>8</v>
      </c>
      <c r="B4563" s="5" t="str">
        <f>HYPERLINK("http://www.broadinstitute.org/gsea/msigdb/cards/GOMF_CATALYTIC_ACTIVITY_ACTING_ON_A_RRNA.html","GOMF_CATALYTIC_ACTIVITY_ACTING_ON_A_RRNA")</f>
        <v>GOMF_CATALYTIC_ACTIVITY_ACTING_ON_A_RRNA</v>
      </c>
      <c r="C4563" s="4">
        <v>24</v>
      </c>
      <c r="D4563" s="3">
        <v>-0.66695154000000001</v>
      </c>
      <c r="E4563" s="1">
        <v>0.9262087</v>
      </c>
      <c r="F4563" s="2">
        <v>0.99196260000000003</v>
      </c>
    </row>
    <row r="4564" spans="1:6" x14ac:dyDescent="0.25">
      <c r="A4564" t="s">
        <v>6</v>
      </c>
      <c r="B4564" s="5" t="str">
        <f>HYPERLINK("http://www.broadinstitute.org/gsea/msigdb/cards/GOBP_POTASSIUM_ION_EXPORT_ACROSS_PLASMA_MEMBRANE.html","GOBP_POTASSIUM_ION_EXPORT_ACROSS_PLASMA_MEMBRANE")</f>
        <v>GOBP_POTASSIUM_ION_EXPORT_ACROSS_PLASMA_MEMBRANE</v>
      </c>
      <c r="C4564" s="4">
        <v>18</v>
      </c>
      <c r="D4564" s="3">
        <v>-0.66727864999999997</v>
      </c>
      <c r="E4564" s="1">
        <v>0.90754259999999998</v>
      </c>
      <c r="F4564" s="2">
        <v>0.99226979999999998</v>
      </c>
    </row>
    <row r="4565" spans="1:6" x14ac:dyDescent="0.25">
      <c r="A4565" t="s">
        <v>7</v>
      </c>
      <c r="B4565" s="5" t="str">
        <f>HYPERLINK("http://www.broadinstitute.org/gsea/msigdb/cards/GOCC_EXORIBONUCLEASE_COMPLEX.html","GOCC_EXORIBONUCLEASE_COMPLEX")</f>
        <v>GOCC_EXORIBONUCLEASE_COMPLEX</v>
      </c>
      <c r="C4565" s="4">
        <v>23</v>
      </c>
      <c r="D4565" s="3">
        <v>-0.67102340000000005</v>
      </c>
      <c r="E4565" s="1">
        <v>0.93932587000000001</v>
      </c>
      <c r="F4565" s="2">
        <v>0.99064605999999999</v>
      </c>
    </row>
    <row r="4566" spans="1:6" x14ac:dyDescent="0.25">
      <c r="A4566" t="s">
        <v>6</v>
      </c>
      <c r="B4566" s="5" t="str">
        <f>HYPERLINK("http://www.broadinstitute.org/gsea/msigdb/cards/GOBP_TOOTH_MINERALIZATION.html","GOBP_TOOTH_MINERALIZATION")</f>
        <v>GOBP_TOOTH_MINERALIZATION</v>
      </c>
      <c r="C4566" s="4">
        <v>31</v>
      </c>
      <c r="D4566" s="3">
        <v>-0.67369752999999999</v>
      </c>
      <c r="E4566" s="1">
        <v>0.94117649999999997</v>
      </c>
      <c r="F4566" s="2">
        <v>0.98961436999999997</v>
      </c>
    </row>
    <row r="4567" spans="1:6" x14ac:dyDescent="0.25">
      <c r="A4567" t="s">
        <v>7</v>
      </c>
      <c r="B4567" s="5" t="str">
        <f>HYPERLINK("http://www.broadinstitute.org/gsea/msigdb/cards/GOCC_PHOTORECEPTOR_INNER_SEGMENT.html","GOCC_PHOTORECEPTOR_INNER_SEGMENT")</f>
        <v>GOCC_PHOTORECEPTOR_INNER_SEGMENT</v>
      </c>
      <c r="C4567" s="4">
        <v>60</v>
      </c>
      <c r="D4567" s="3">
        <v>-0.67519430000000003</v>
      </c>
      <c r="E4567" s="1">
        <v>0.96944445000000001</v>
      </c>
      <c r="F4567" s="2">
        <v>0.98922270000000001</v>
      </c>
    </row>
    <row r="4568" spans="1:6" x14ac:dyDescent="0.25">
      <c r="A4568" t="s">
        <v>8</v>
      </c>
      <c r="B4568" s="5" t="str">
        <f>HYPERLINK("http://www.broadinstitute.org/gsea/msigdb/cards/GOMF_INORGANIC_ANION_TRANSMEMBRANE_TRANSPORTER_ACTIVITY.html","GOMF_INORGANIC_ANION_TRANSMEMBRANE_TRANSPORTER_ACTIVITY")</f>
        <v>GOMF_INORGANIC_ANION_TRANSMEMBRANE_TRANSPORTER_ACTIVITY</v>
      </c>
      <c r="C4568" s="4">
        <v>147</v>
      </c>
      <c r="D4568" s="3">
        <v>-0.67601389999999995</v>
      </c>
      <c r="E4568" s="1">
        <v>0.99702380000000002</v>
      </c>
      <c r="F4568" s="2">
        <v>0.98922926</v>
      </c>
    </row>
    <row r="4569" spans="1:6" x14ac:dyDescent="0.25">
      <c r="A4569" t="s">
        <v>7</v>
      </c>
      <c r="B4569" s="5" t="str">
        <f>HYPERLINK("http://www.broadinstitute.org/gsea/msigdb/cards/GOCC_SPINDLE_MIDZONE.html","GOCC_SPINDLE_MIDZONE")</f>
        <v>GOCC_SPINDLE_MIDZONE</v>
      </c>
      <c r="C4569" s="4">
        <v>38</v>
      </c>
      <c r="D4569" s="3">
        <v>-0.67838750000000003</v>
      </c>
      <c r="E4569" s="1">
        <v>0.95762709999999995</v>
      </c>
      <c r="F4569" s="2">
        <v>0.98823910000000004</v>
      </c>
    </row>
    <row r="4570" spans="1:6" x14ac:dyDescent="0.25">
      <c r="A4570" t="s">
        <v>6</v>
      </c>
      <c r="B4570" s="5" t="str">
        <f>HYPERLINK("http://www.broadinstitute.org/gsea/msigdb/cards/GOBP_SCF_DEPENDENT_PROTEASOMAL_UBIQUITIN_DEPENDENT_PROTEIN_CATABOLIC_PROCESS.html","GOBP_SCF_DEPENDENT_PROTEASOMAL_UBIQUITIN_DEPENDENT_PROTEIN_CATABOLIC_PROCESS")</f>
        <v>GOBP_SCF_DEPENDENT_PROTEASOMAL_UBIQUITIN_DEPENDENT_PROTEIN_CATABOLIC_PROCESS</v>
      </c>
      <c r="C4570" s="4">
        <v>50</v>
      </c>
      <c r="D4570" s="3">
        <v>-0.68193230000000005</v>
      </c>
      <c r="E4570" s="1">
        <v>0.96286470000000002</v>
      </c>
      <c r="F4570" s="2">
        <v>0.98649070000000005</v>
      </c>
    </row>
    <row r="4571" spans="1:6" x14ac:dyDescent="0.25">
      <c r="A4571" t="s">
        <v>10</v>
      </c>
      <c r="B4571" s="5" t="str">
        <f>HYPERLINK("http://www.broadinstitute.org/gsea/msigdb/cards/REACTOME_SYNTHESIS_OF_GLYCOSYLPHOSPHATIDYLINOSITOL_GPI.html","REACTOME_SYNTHESIS_OF_GLYCOSYLPHOSPHATIDYLINOSITOL_GPI")</f>
        <v>REACTOME_SYNTHESIS_OF_GLYCOSYLPHOSPHATIDYLINOSITOL_GPI</v>
      </c>
      <c r="C4571" s="4">
        <v>17</v>
      </c>
      <c r="D4571" s="3">
        <v>-0.68350679999999997</v>
      </c>
      <c r="E4571" s="1">
        <v>0.90307329999999997</v>
      </c>
      <c r="F4571" s="2">
        <v>0.98598169999999996</v>
      </c>
    </row>
    <row r="4572" spans="1:6" x14ac:dyDescent="0.25">
      <c r="A4572" t="s">
        <v>6</v>
      </c>
      <c r="B4572" s="5" t="str">
        <f>HYPERLINK("http://www.broadinstitute.org/gsea/msigdb/cards/GOBP_REGULATION_OF_PIGMENTATION.html","GOBP_REGULATION_OF_PIGMENTATION")</f>
        <v>GOBP_REGULATION_OF_PIGMENTATION</v>
      </c>
      <c r="C4572" s="4">
        <v>16</v>
      </c>
      <c r="D4572" s="3">
        <v>-0.68599485999999998</v>
      </c>
      <c r="E4572" s="1">
        <v>0.87927109999999997</v>
      </c>
      <c r="F4572" s="2">
        <v>0.9848401</v>
      </c>
    </row>
    <row r="4573" spans="1:6" x14ac:dyDescent="0.25">
      <c r="A4573" t="s">
        <v>6</v>
      </c>
      <c r="B4573" s="5" t="str">
        <f>HYPERLINK("http://www.broadinstitute.org/gsea/msigdb/cards/GOBP_NEGATIVE_REGULATION_OF_AXON_REGENERATION.html","GOBP_NEGATIVE_REGULATION_OF_AXON_REGENERATION")</f>
        <v>GOBP_NEGATIVE_REGULATION_OF_AXON_REGENERATION</v>
      </c>
      <c r="C4573" s="4">
        <v>15</v>
      </c>
      <c r="D4573" s="3">
        <v>-0.68672909999999998</v>
      </c>
      <c r="E4573" s="1">
        <v>0.89500000000000002</v>
      </c>
      <c r="F4573" s="2">
        <v>0.98484205999999996</v>
      </c>
    </row>
    <row r="4574" spans="1:6" x14ac:dyDescent="0.25">
      <c r="A4574" t="s">
        <v>10</v>
      </c>
      <c r="B4574" s="5" t="str">
        <f>HYPERLINK("http://www.broadinstitute.org/gsea/msigdb/cards/REACTOME_METABOLISM_OF_AMINE_DERIVED_HORMONES.html","REACTOME_METABOLISM_OF_AMINE_DERIVED_HORMONES")</f>
        <v>REACTOME_METABOLISM_OF_AMINE_DERIVED_HORMONES</v>
      </c>
      <c r="C4574" s="4">
        <v>16</v>
      </c>
      <c r="D4574" s="3">
        <v>-0.68703955000000005</v>
      </c>
      <c r="E4574" s="1">
        <v>0.90801889999999996</v>
      </c>
      <c r="F4574" s="2">
        <v>0.98510987000000005</v>
      </c>
    </row>
    <row r="4575" spans="1:6" x14ac:dyDescent="0.25">
      <c r="A4575" t="s">
        <v>6</v>
      </c>
      <c r="B4575" s="5" t="str">
        <f>HYPERLINK("http://www.broadinstitute.org/gsea/msigdb/cards/GOBP_REGULATION_OF_GONAD_DEVELOPMENT.html","GOBP_REGULATION_OF_GONAD_DEVELOPMENT")</f>
        <v>GOBP_REGULATION_OF_GONAD_DEVELOPMENT</v>
      </c>
      <c r="C4575" s="4">
        <v>15</v>
      </c>
      <c r="D4575" s="3">
        <v>-0.68887399999999999</v>
      </c>
      <c r="E4575" s="1">
        <v>0.89705884000000002</v>
      </c>
      <c r="F4575" s="2">
        <v>0.984379</v>
      </c>
    </row>
    <row r="4576" spans="1:6" x14ac:dyDescent="0.25">
      <c r="A4576" t="s">
        <v>6</v>
      </c>
      <c r="B4576" s="5" t="str">
        <f>HYPERLINK("http://www.broadinstitute.org/gsea/msigdb/cards/GOBP_ORGANIC_HYDROXY_COMPOUND_CATABOLIC_PROCESS.html","GOBP_ORGANIC_HYDROXY_COMPOUND_CATABOLIC_PROCESS")</f>
        <v>GOBP_ORGANIC_HYDROXY_COMPOUND_CATABOLIC_PROCESS</v>
      </c>
      <c r="C4576" s="4">
        <v>52</v>
      </c>
      <c r="D4576" s="3">
        <v>-0.69051874000000002</v>
      </c>
      <c r="E4576" s="1">
        <v>0.95620435000000004</v>
      </c>
      <c r="F4576" s="2">
        <v>0.98380124999999996</v>
      </c>
    </row>
    <row r="4577" spans="1:6" x14ac:dyDescent="0.25">
      <c r="A4577" t="s">
        <v>6</v>
      </c>
      <c r="B4577" s="5" t="str">
        <f>HYPERLINK("http://www.broadinstitute.org/gsea/msigdb/cards/GOBP_LONG_CHAIN_FATTY_ACID_METABOLIC_PROCESS.html","GOBP_LONG_CHAIN_FATTY_ACID_METABOLIC_PROCESS")</f>
        <v>GOBP_LONG_CHAIN_FATTY_ACID_METABOLIC_PROCESS</v>
      </c>
      <c r="C4577" s="4">
        <v>108</v>
      </c>
      <c r="D4577" s="3">
        <v>-0.691222</v>
      </c>
      <c r="E4577" s="1">
        <v>0.99065422999999997</v>
      </c>
      <c r="F4577" s="2">
        <v>0.98380314999999996</v>
      </c>
    </row>
    <row r="4578" spans="1:6" x14ac:dyDescent="0.25">
      <c r="A4578" t="s">
        <v>6</v>
      </c>
      <c r="B4578" s="5" t="str">
        <f>HYPERLINK("http://www.broadinstitute.org/gsea/msigdb/cards/GOBP_ANTERIOR_POSTERIOR_AXIS_SPECIFICATION.html","GOBP_ANTERIOR_POSTERIOR_AXIS_SPECIFICATION")</f>
        <v>GOBP_ANTERIOR_POSTERIOR_AXIS_SPECIFICATION</v>
      </c>
      <c r="C4578" s="4">
        <v>60</v>
      </c>
      <c r="D4578" s="3">
        <v>-0.69157740000000001</v>
      </c>
      <c r="E4578" s="1">
        <v>0.98050139999999997</v>
      </c>
      <c r="F4578" s="2">
        <v>0.98405600000000004</v>
      </c>
    </row>
    <row r="4579" spans="1:6" x14ac:dyDescent="0.25">
      <c r="A4579" t="s">
        <v>6</v>
      </c>
      <c r="B4579" s="5" t="str">
        <f>HYPERLINK("http://www.broadinstitute.org/gsea/msigdb/cards/GOBP_SEMINIFEROUS_TUBULE_DEVELOPMENT.html","GOBP_SEMINIFEROUS_TUBULE_DEVELOPMENT")</f>
        <v>GOBP_SEMINIFEROUS_TUBULE_DEVELOPMENT</v>
      </c>
      <c r="C4579" s="4">
        <v>20</v>
      </c>
      <c r="D4579" s="3">
        <v>-0.69299080000000002</v>
      </c>
      <c r="E4579" s="1">
        <v>0.89099525999999996</v>
      </c>
      <c r="F4579" s="2">
        <v>0.98356549999999998</v>
      </c>
    </row>
    <row r="4580" spans="1:6" x14ac:dyDescent="0.25">
      <c r="A4580" t="s">
        <v>6</v>
      </c>
      <c r="B4580" s="5" t="str">
        <f>HYPERLINK("http://www.broadinstitute.org/gsea/msigdb/cards/GOBP_PEPTIDYL_GLUTAMIC_ACID_MODIFICATION.html","GOBP_PEPTIDYL_GLUTAMIC_ACID_MODIFICATION")</f>
        <v>GOBP_PEPTIDYL_GLUTAMIC_ACID_MODIFICATION</v>
      </c>
      <c r="C4580" s="4">
        <v>27</v>
      </c>
      <c r="D4580" s="3">
        <v>-0.69378054</v>
      </c>
      <c r="E4580" s="1">
        <v>0.92147802999999995</v>
      </c>
      <c r="F4580" s="2">
        <v>0.98350680000000001</v>
      </c>
    </row>
    <row r="4581" spans="1:6" x14ac:dyDescent="0.25">
      <c r="A4581" t="s">
        <v>6</v>
      </c>
      <c r="B4581" s="5" t="str">
        <f>HYPERLINK("http://www.broadinstitute.org/gsea/msigdb/cards/GOBP_ACETYL_COA_BIOSYNTHETIC_PROCESS.html","GOBP_ACETYL_COA_BIOSYNTHETIC_PROCESS")</f>
        <v>GOBP_ACETYL_COA_BIOSYNTHETIC_PROCESS</v>
      </c>
      <c r="C4581" s="4">
        <v>19</v>
      </c>
      <c r="D4581" s="3">
        <v>-0.69413769999999997</v>
      </c>
      <c r="E4581" s="1">
        <v>0.8967136</v>
      </c>
      <c r="F4581" s="2">
        <v>0.98373383000000003</v>
      </c>
    </row>
    <row r="4582" spans="1:6" x14ac:dyDescent="0.25">
      <c r="A4582" t="s">
        <v>10</v>
      </c>
      <c r="B4582" s="5" t="str">
        <f>HYPERLINK("http://www.broadinstitute.org/gsea/msigdb/cards/REACTOME_TRANSPORT_OF_MATURE_MRNAS_DERIVED_FROM_INTRONLESS_TRANSCRIPTS.html","REACTOME_TRANSPORT_OF_MATURE_MRNAS_DERIVED_FROM_INTRONLESS_TRANSCRIPTS")</f>
        <v>REACTOME_TRANSPORT_OF_MATURE_MRNAS_DERIVED_FROM_INTRONLESS_TRANSCRIPTS</v>
      </c>
      <c r="C4582" s="4">
        <v>42</v>
      </c>
      <c r="D4582" s="3">
        <v>-0.69439580000000001</v>
      </c>
      <c r="E4582" s="1">
        <v>0.96031743000000003</v>
      </c>
      <c r="F4582" s="2">
        <v>0.98403465999999995</v>
      </c>
    </row>
    <row r="4583" spans="1:6" x14ac:dyDescent="0.25">
      <c r="A4583" t="s">
        <v>6</v>
      </c>
      <c r="B4583" s="5" t="str">
        <f>HYPERLINK("http://www.broadinstitute.org/gsea/msigdb/cards/GOBP_SERINE_FAMILY_AMINO_ACID_BIOSYNTHETIC_PROCESS.html","GOBP_SERINE_FAMILY_AMINO_ACID_BIOSYNTHETIC_PROCESS")</f>
        <v>GOBP_SERINE_FAMILY_AMINO_ACID_BIOSYNTHETIC_PROCESS</v>
      </c>
      <c r="C4583" s="4">
        <v>16</v>
      </c>
      <c r="D4583" s="3">
        <v>-0.69494690000000003</v>
      </c>
      <c r="E4583" s="1">
        <v>0.86924939999999995</v>
      </c>
      <c r="F4583" s="2">
        <v>0.98412639999999996</v>
      </c>
    </row>
    <row r="4584" spans="1:6" x14ac:dyDescent="0.25">
      <c r="A4584" t="s">
        <v>6</v>
      </c>
      <c r="B4584" s="5" t="str">
        <f>HYPERLINK("http://www.broadinstitute.org/gsea/msigdb/cards/GOBP_NEGATIVE_REGULATION_OF_RELEASE_OF_CYTOCHROME_C_FROM_MITOCHONDRIA.html","GOBP_NEGATIVE_REGULATION_OF_RELEASE_OF_CYTOCHROME_C_FROM_MITOCHONDRIA")</f>
        <v>GOBP_NEGATIVE_REGULATION_OF_RELEASE_OF_CYTOCHROME_C_FROM_MITOCHONDRIA</v>
      </c>
      <c r="C4584" s="4">
        <v>22</v>
      </c>
      <c r="D4584" s="3">
        <v>-0.69547170000000003</v>
      </c>
      <c r="E4584" s="1">
        <v>0.89598109999999997</v>
      </c>
      <c r="F4584" s="2">
        <v>0.98423349999999998</v>
      </c>
    </row>
    <row r="4585" spans="1:6" x14ac:dyDescent="0.25">
      <c r="A4585" t="s">
        <v>6</v>
      </c>
      <c r="B4585" s="5" t="str">
        <f>HYPERLINK("http://www.broadinstitute.org/gsea/msigdb/cards/GOBP_NEUROTRANSMITTER_REUPTAKE.html","GOBP_NEUROTRANSMITTER_REUPTAKE")</f>
        <v>GOBP_NEUROTRANSMITTER_REUPTAKE</v>
      </c>
      <c r="C4585" s="4">
        <v>31</v>
      </c>
      <c r="D4585" s="3">
        <v>-0.69754760000000005</v>
      </c>
      <c r="E4585" s="1">
        <v>0.94457829999999998</v>
      </c>
      <c r="F4585" s="2">
        <v>0.98324650000000002</v>
      </c>
    </row>
    <row r="4586" spans="1:6" x14ac:dyDescent="0.25">
      <c r="A4586" t="s">
        <v>7</v>
      </c>
      <c r="B4586" s="5" t="str">
        <f>HYPERLINK("http://www.broadinstitute.org/gsea/msigdb/cards/GOCC_CYTOPLASMIC_MICROTUBULE.html","GOCC_CYTOPLASMIC_MICROTUBULE")</f>
        <v>GOCC_CYTOPLASMIC_MICROTUBULE</v>
      </c>
      <c r="C4586" s="4">
        <v>111</v>
      </c>
      <c r="D4586" s="3">
        <v>-0.69910693000000002</v>
      </c>
      <c r="E4586" s="1">
        <v>0.99686520000000001</v>
      </c>
      <c r="F4586" s="2">
        <v>0.98260312999999999</v>
      </c>
    </row>
    <row r="4587" spans="1:6" x14ac:dyDescent="0.25">
      <c r="A4587" t="s">
        <v>8</v>
      </c>
      <c r="B4587" s="5" t="str">
        <f>HYPERLINK("http://www.broadinstitute.org/gsea/msigdb/cards/GOMF_TRANSFERASE_ACTIVITY_TRANSFERRING_NITROGENOUS_GROUPS.html","GOMF_TRANSFERASE_ACTIVITY_TRANSFERRING_NITROGENOUS_GROUPS")</f>
        <v>GOMF_TRANSFERASE_ACTIVITY_TRANSFERRING_NITROGENOUS_GROUPS</v>
      </c>
      <c r="C4587" s="4">
        <v>26</v>
      </c>
      <c r="D4587" s="3">
        <v>-0.69921860000000002</v>
      </c>
      <c r="E4587" s="1">
        <v>0.9201878</v>
      </c>
      <c r="F4587" s="2">
        <v>0.98299676000000002</v>
      </c>
    </row>
    <row r="4588" spans="1:6" x14ac:dyDescent="0.25">
      <c r="A4588" t="s">
        <v>8</v>
      </c>
      <c r="B4588" s="5" t="str">
        <f>HYPERLINK("http://www.broadinstitute.org/gsea/msigdb/cards/GOMF_PROTEIN_KINASE_A_REGULATORY_SUBUNIT_BINDING.html","GOMF_PROTEIN_KINASE_A_REGULATORY_SUBUNIT_BINDING")</f>
        <v>GOMF_PROTEIN_KINASE_A_REGULATORY_SUBUNIT_BINDING</v>
      </c>
      <c r="C4588" s="4">
        <v>24</v>
      </c>
      <c r="D4588" s="3">
        <v>-0.70039326000000002</v>
      </c>
      <c r="E4588" s="1">
        <v>0.90744919999999996</v>
      </c>
      <c r="F4588" s="2">
        <v>0.98259719999999995</v>
      </c>
    </row>
    <row r="4589" spans="1:6" x14ac:dyDescent="0.25">
      <c r="A4589" t="s">
        <v>7</v>
      </c>
      <c r="B4589" s="5" t="str">
        <f>HYPERLINK("http://www.broadinstitute.org/gsea/msigdb/cards/GOCC_AXONEMAL_MICROTUBULE.html","GOCC_AXONEMAL_MICROTUBULE")</f>
        <v>GOCC_AXONEMAL_MICROTUBULE</v>
      </c>
      <c r="C4589" s="4">
        <v>38</v>
      </c>
      <c r="D4589" s="3">
        <v>-0.7009474</v>
      </c>
      <c r="E4589" s="1">
        <v>0.94827585999999997</v>
      </c>
      <c r="F4589" s="2">
        <v>0.9826551</v>
      </c>
    </row>
    <row r="4590" spans="1:6" x14ac:dyDescent="0.25">
      <c r="A4590" t="s">
        <v>6</v>
      </c>
      <c r="B4590" s="5" t="str">
        <f>HYPERLINK("http://www.broadinstitute.org/gsea/msigdb/cards/GOBP_VESICLE_DOCKING_INVOLVED_IN_EXOCYTOSIS.html","GOBP_VESICLE_DOCKING_INVOLVED_IN_EXOCYTOSIS")</f>
        <v>GOBP_VESICLE_DOCKING_INVOLVED_IN_EXOCYTOSIS</v>
      </c>
      <c r="C4590" s="4">
        <v>44</v>
      </c>
      <c r="D4590" s="3">
        <v>-0.70414670000000001</v>
      </c>
      <c r="E4590" s="1">
        <v>0.94936710000000002</v>
      </c>
      <c r="F4590" s="2">
        <v>0.98064726999999996</v>
      </c>
    </row>
    <row r="4591" spans="1:6" x14ac:dyDescent="0.25">
      <c r="A4591" t="s">
        <v>6</v>
      </c>
      <c r="B4591" s="5" t="str">
        <f>HYPERLINK("http://www.broadinstitute.org/gsea/msigdb/cards/GOBP_RESPIRATORY_GASEOUS_EXCHANGE_BY_RESPIRATORY_SYSTEM.html","GOBP_RESPIRATORY_GASEOUS_EXCHANGE_BY_RESPIRATORY_SYSTEM")</f>
        <v>GOBP_RESPIRATORY_GASEOUS_EXCHANGE_BY_RESPIRATORY_SYSTEM</v>
      </c>
      <c r="C4591" s="4">
        <v>73</v>
      </c>
      <c r="D4591" s="3">
        <v>-0.70601725999999998</v>
      </c>
      <c r="E4591" s="1">
        <v>0.9768116</v>
      </c>
      <c r="F4591" s="2">
        <v>0.97967947</v>
      </c>
    </row>
    <row r="4592" spans="1:6" x14ac:dyDescent="0.25">
      <c r="A4592" t="s">
        <v>6</v>
      </c>
      <c r="B4592" s="5" t="str">
        <f>HYPERLINK("http://www.broadinstitute.org/gsea/msigdb/cards/GOBP_FOREBRAIN_NEURON_DEVELOPMENT.html","GOBP_FOREBRAIN_NEURON_DEVELOPMENT")</f>
        <v>GOBP_FOREBRAIN_NEURON_DEVELOPMENT</v>
      </c>
      <c r="C4592" s="4">
        <v>30</v>
      </c>
      <c r="D4592" s="3">
        <v>-0.70691870000000001</v>
      </c>
      <c r="E4592" s="1">
        <v>0.9063232</v>
      </c>
      <c r="F4592" s="2">
        <v>0.97947245999999999</v>
      </c>
    </row>
    <row r="4593" spans="1:6" x14ac:dyDescent="0.25">
      <c r="A4593" t="s">
        <v>7</v>
      </c>
      <c r="B4593" s="5" t="str">
        <f>HYPERLINK("http://www.broadinstitute.org/gsea/msigdb/cards/GOCC_SPINDLE_MICROTUBULE.html","GOCC_SPINDLE_MICROTUBULE")</f>
        <v>GOCC_SPINDLE_MICROTUBULE</v>
      </c>
      <c r="C4593" s="4">
        <v>75</v>
      </c>
      <c r="D4593" s="3">
        <v>-0.70724620000000005</v>
      </c>
      <c r="E4593" s="1">
        <v>0.96825397000000002</v>
      </c>
      <c r="F4593" s="2">
        <v>0.97971220000000003</v>
      </c>
    </row>
    <row r="4594" spans="1:6" x14ac:dyDescent="0.25">
      <c r="A4594" t="s">
        <v>6</v>
      </c>
      <c r="B4594" s="5" t="str">
        <f>HYPERLINK("http://www.broadinstitute.org/gsea/msigdb/cards/GOBP_ACROSOME_ASSEMBLY.html","GOBP_ACROSOME_ASSEMBLY")</f>
        <v>GOBP_ACROSOME_ASSEMBLY</v>
      </c>
      <c r="C4594" s="4">
        <v>29</v>
      </c>
      <c r="D4594" s="3">
        <v>-0.70755699999999999</v>
      </c>
      <c r="E4594" s="1">
        <v>0.91569084000000001</v>
      </c>
      <c r="F4594" s="2">
        <v>0.97995790000000005</v>
      </c>
    </row>
    <row r="4595" spans="1:6" x14ac:dyDescent="0.25">
      <c r="A4595" t="s">
        <v>6</v>
      </c>
      <c r="B4595" s="5" t="str">
        <f>HYPERLINK("http://www.broadinstitute.org/gsea/msigdb/cards/GOBP_MECHANOSENSORY_BEHAVIOR.html","GOBP_MECHANOSENSORY_BEHAVIOR")</f>
        <v>GOBP_MECHANOSENSORY_BEHAVIOR</v>
      </c>
      <c r="C4595" s="4">
        <v>16</v>
      </c>
      <c r="D4595" s="3">
        <v>-0.70867899999999995</v>
      </c>
      <c r="E4595" s="1">
        <v>0.85067873999999999</v>
      </c>
      <c r="F4595" s="2">
        <v>0.97955740000000002</v>
      </c>
    </row>
    <row r="4596" spans="1:6" x14ac:dyDescent="0.25">
      <c r="A4596" t="s">
        <v>6</v>
      </c>
      <c r="B4596" s="5" t="str">
        <f>HYPERLINK("http://www.broadinstitute.org/gsea/msigdb/cards/GOBP_POSITIVE_REGULATION_OF_BEHAVIOR.html","GOBP_POSITIVE_REGULATION_OF_BEHAVIOR")</f>
        <v>GOBP_POSITIVE_REGULATION_OF_BEHAVIOR</v>
      </c>
      <c r="C4596" s="4">
        <v>40</v>
      </c>
      <c r="D4596" s="3">
        <v>-0.71080659999999996</v>
      </c>
      <c r="E4596" s="1">
        <v>0.94417477000000005</v>
      </c>
      <c r="F4596" s="2">
        <v>0.97832350000000001</v>
      </c>
    </row>
    <row r="4597" spans="1:6" x14ac:dyDescent="0.25">
      <c r="A4597" t="s">
        <v>6</v>
      </c>
      <c r="B4597" s="5" t="str">
        <f>HYPERLINK("http://www.broadinstitute.org/gsea/msigdb/cards/GOBP_CELL_CYCLE_DNA_REPLICATION.html","GOBP_CELL_CYCLE_DNA_REPLICATION")</f>
        <v>GOBP_CELL_CYCLE_DNA_REPLICATION</v>
      </c>
      <c r="C4597" s="4">
        <v>40</v>
      </c>
      <c r="D4597" s="3">
        <v>-0.71341829999999995</v>
      </c>
      <c r="E4597" s="1">
        <v>0.94677869999999997</v>
      </c>
      <c r="F4597" s="2">
        <v>0.97663420000000001</v>
      </c>
    </row>
    <row r="4598" spans="1:6" x14ac:dyDescent="0.25">
      <c r="A4598" t="s">
        <v>8</v>
      </c>
      <c r="B4598" s="5" t="str">
        <f>HYPERLINK("http://www.broadinstitute.org/gsea/msigdb/cards/GOMF_STRUCTURAL_CONSTITUENT_OF_SYNAPSE.html","GOMF_STRUCTURAL_CONSTITUENT_OF_SYNAPSE")</f>
        <v>GOMF_STRUCTURAL_CONSTITUENT_OF_SYNAPSE</v>
      </c>
      <c r="C4598" s="4">
        <v>37</v>
      </c>
      <c r="D4598" s="3">
        <v>-0.71351120000000001</v>
      </c>
      <c r="E4598" s="1">
        <v>0.90417689999999995</v>
      </c>
      <c r="F4598" s="2">
        <v>0.97704789999999997</v>
      </c>
    </row>
    <row r="4599" spans="1:6" x14ac:dyDescent="0.25">
      <c r="A4599" t="s">
        <v>8</v>
      </c>
      <c r="B4599" s="5" t="str">
        <f>HYPERLINK("http://www.broadinstitute.org/gsea/msigdb/cards/GOMF_GDP_DISSOCIATION_INHIBITOR_ACTIVITY.html","GOMF_GDP_DISSOCIATION_INHIBITOR_ACTIVITY")</f>
        <v>GOMF_GDP_DISSOCIATION_INHIBITOR_ACTIVITY</v>
      </c>
      <c r="C4599" s="4">
        <v>16</v>
      </c>
      <c r="D4599" s="3">
        <v>-0.714418</v>
      </c>
      <c r="E4599" s="1">
        <v>0.85550459999999995</v>
      </c>
      <c r="F4599" s="2">
        <v>0.97677886000000003</v>
      </c>
    </row>
    <row r="4600" spans="1:6" x14ac:dyDescent="0.25">
      <c r="A4600" t="s">
        <v>10</v>
      </c>
      <c r="B4600" s="5" t="str">
        <f>HYPERLINK("http://www.broadinstitute.org/gsea/msigdb/cards/REACTOME_POLYMERASE_SWITCHING_ON_THE_C_STRAND_OF_THE_TELOMERE.html","REACTOME_POLYMERASE_SWITCHING_ON_THE_C_STRAND_OF_THE_TELOMERE")</f>
        <v>REACTOME_POLYMERASE_SWITCHING_ON_THE_C_STRAND_OF_THE_TELOMERE</v>
      </c>
      <c r="C4600" s="4">
        <v>25</v>
      </c>
      <c r="D4600" s="3">
        <v>-0.71443659999999998</v>
      </c>
      <c r="E4600" s="1">
        <v>0.91013825000000004</v>
      </c>
      <c r="F4600" s="2">
        <v>0.97724633999999999</v>
      </c>
    </row>
    <row r="4601" spans="1:6" x14ac:dyDescent="0.25">
      <c r="A4601" t="s">
        <v>7</v>
      </c>
      <c r="B4601" s="5" t="str">
        <f>HYPERLINK("http://www.broadinstitute.org/gsea/msigdb/cards/GOCC_LATERAL_ELEMENT.html","GOCC_LATERAL_ELEMENT")</f>
        <v>GOCC_LATERAL_ELEMENT</v>
      </c>
      <c r="C4601" s="4">
        <v>18</v>
      </c>
      <c r="D4601" s="3">
        <v>-0.71689380000000003</v>
      </c>
      <c r="E4601" s="1">
        <v>0.88442209999999999</v>
      </c>
      <c r="F4601" s="2">
        <v>0.97569130000000004</v>
      </c>
    </row>
    <row r="4602" spans="1:6" x14ac:dyDescent="0.25">
      <c r="A4602" t="s">
        <v>7</v>
      </c>
      <c r="B4602" s="5" t="str">
        <f>HYPERLINK("http://www.broadinstitute.org/gsea/msigdb/cards/GOCC_INNER_KINETOCHORE.html","GOCC_INNER_KINETOCHORE")</f>
        <v>GOCC_INNER_KINETOCHORE</v>
      </c>
      <c r="C4602" s="4">
        <v>18</v>
      </c>
      <c r="D4602" s="3">
        <v>-0.71695982999999996</v>
      </c>
      <c r="E4602" s="1">
        <v>0.85990339999999998</v>
      </c>
      <c r="F4602" s="2">
        <v>0.97611559999999997</v>
      </c>
    </row>
    <row r="4603" spans="1:6" x14ac:dyDescent="0.25">
      <c r="A4603" t="s">
        <v>6</v>
      </c>
      <c r="B4603" s="5" t="str">
        <f>HYPERLINK("http://www.broadinstitute.org/gsea/msigdb/cards/GOBP_POSTREPLICATION_REPAIR.html","GOBP_POSTREPLICATION_REPAIR")</f>
        <v>GOBP_POSTREPLICATION_REPAIR</v>
      </c>
      <c r="C4603" s="4">
        <v>28</v>
      </c>
      <c r="D4603" s="3">
        <v>-0.71715057000000004</v>
      </c>
      <c r="E4603" s="1">
        <v>0.91866029999999999</v>
      </c>
      <c r="F4603" s="2">
        <v>0.97643000000000002</v>
      </c>
    </row>
    <row r="4604" spans="1:6" x14ac:dyDescent="0.25">
      <c r="A4604" t="s">
        <v>6</v>
      </c>
      <c r="B4604" s="5" t="str">
        <f>HYPERLINK("http://www.broadinstitute.org/gsea/msigdb/cards/GOBP_MITOTIC_SISTER_CHROMATID_SEGREGATION.html","GOBP_MITOTIC_SISTER_CHROMATID_SEGREGATION")</f>
        <v>GOBP_MITOTIC_SISTER_CHROMATID_SEGREGATION</v>
      </c>
      <c r="C4604" s="4">
        <v>174</v>
      </c>
      <c r="D4604" s="3">
        <v>-0.71907869999999996</v>
      </c>
      <c r="E4604" s="1">
        <v>0.9899329</v>
      </c>
      <c r="F4604" s="2">
        <v>0.97525150000000005</v>
      </c>
    </row>
    <row r="4605" spans="1:6" x14ac:dyDescent="0.25">
      <c r="A4605" t="s">
        <v>6</v>
      </c>
      <c r="B4605" s="5" t="str">
        <f>HYPERLINK("http://www.broadinstitute.org/gsea/msigdb/cards/GOBP_REGULATION_OF_LIPOPROTEIN_METABOLIC_PROCESS.html","GOBP_REGULATION_OF_LIPOPROTEIN_METABOLIC_PROCESS")</f>
        <v>GOBP_REGULATION_OF_LIPOPROTEIN_METABOLIC_PROCESS</v>
      </c>
      <c r="C4605" s="4">
        <v>19</v>
      </c>
      <c r="D4605" s="3">
        <v>-0.72079413999999997</v>
      </c>
      <c r="E4605" s="1">
        <v>0.86511629999999995</v>
      </c>
      <c r="F4605" s="2">
        <v>0.97423773999999996</v>
      </c>
    </row>
    <row r="4606" spans="1:6" x14ac:dyDescent="0.25">
      <c r="A4606" t="s">
        <v>6</v>
      </c>
      <c r="B4606" s="5" t="str">
        <f>HYPERLINK("http://www.broadinstitute.org/gsea/msigdb/cards/GOBP_FATTY_ACID_DERIVATIVE_CATABOLIC_PROCESS.html","GOBP_FATTY_ACID_DERIVATIVE_CATABOLIC_PROCESS")</f>
        <v>GOBP_FATTY_ACID_DERIVATIVE_CATABOLIC_PROCESS</v>
      </c>
      <c r="C4606" s="4">
        <v>18</v>
      </c>
      <c r="D4606" s="3">
        <v>-0.72234756</v>
      </c>
      <c r="E4606" s="1">
        <v>0.86926603000000002</v>
      </c>
      <c r="F4606" s="2">
        <v>0.97332954000000005</v>
      </c>
    </row>
    <row r="4607" spans="1:6" x14ac:dyDescent="0.25">
      <c r="A4607" t="s">
        <v>10</v>
      </c>
      <c r="B4607" s="5" t="str">
        <f>HYPERLINK("http://www.broadinstitute.org/gsea/msigdb/cards/REACTOME_HOMOLOGOUS_DNA_PAIRING_AND_STRAND_EXCHANGE.html","REACTOME_HOMOLOGOUS_DNA_PAIRING_AND_STRAND_EXCHANGE")</f>
        <v>REACTOME_HOMOLOGOUS_DNA_PAIRING_AND_STRAND_EXCHANGE</v>
      </c>
      <c r="C4607" s="4">
        <v>26</v>
      </c>
      <c r="D4607" s="3">
        <v>-0.72396470000000002</v>
      </c>
      <c r="E4607" s="1">
        <v>0.88190955000000004</v>
      </c>
      <c r="F4607" s="2">
        <v>0.97240009999999999</v>
      </c>
    </row>
    <row r="4608" spans="1:6" x14ac:dyDescent="0.25">
      <c r="A4608" t="s">
        <v>6</v>
      </c>
      <c r="B4608" s="5" t="str">
        <f>HYPERLINK("http://www.broadinstitute.org/gsea/msigdb/cards/GOBP_MEMBRANE_HYPERPOLARIZATION.html","GOBP_MEMBRANE_HYPERPOLARIZATION")</f>
        <v>GOBP_MEMBRANE_HYPERPOLARIZATION</v>
      </c>
      <c r="C4608" s="4">
        <v>19</v>
      </c>
      <c r="D4608" s="3">
        <v>-0.72465869999999999</v>
      </c>
      <c r="E4608" s="1">
        <v>0.87323945999999997</v>
      </c>
      <c r="F4608" s="2">
        <v>0.97223340000000003</v>
      </c>
    </row>
    <row r="4609" spans="1:6" x14ac:dyDescent="0.25">
      <c r="A4609" t="s">
        <v>7</v>
      </c>
      <c r="B4609" s="5" t="str">
        <f>HYPERLINK("http://www.broadinstitute.org/gsea/msigdb/cards/GOCC_PROTEIN_PHOSPHATASE_TYPE_2A_COMPLEX.html","GOCC_PROTEIN_PHOSPHATASE_TYPE_2A_COMPLEX")</f>
        <v>GOCC_PROTEIN_PHOSPHATASE_TYPE_2A_COMPLEX</v>
      </c>
      <c r="C4609" s="4">
        <v>17</v>
      </c>
      <c r="D4609" s="3">
        <v>-0.72526000000000002</v>
      </c>
      <c r="E4609" s="1">
        <v>0.85125859999999998</v>
      </c>
      <c r="F4609" s="2">
        <v>0.97217480000000001</v>
      </c>
    </row>
    <row r="4610" spans="1:6" x14ac:dyDescent="0.25">
      <c r="A4610" t="s">
        <v>6</v>
      </c>
      <c r="B4610" s="5" t="str">
        <f>HYPERLINK("http://www.broadinstitute.org/gsea/msigdb/cards/GOBP_GAMMA_AMINOBUTYRIC_ACID_SECRETION.html","GOBP_GAMMA_AMINOBUTYRIC_ACID_SECRETION")</f>
        <v>GOBP_GAMMA_AMINOBUTYRIC_ACID_SECRETION</v>
      </c>
      <c r="C4610" s="4">
        <v>19</v>
      </c>
      <c r="D4610" s="3">
        <v>-0.72546685</v>
      </c>
      <c r="E4610" s="1">
        <v>0.81438520000000003</v>
      </c>
      <c r="F4610" s="2">
        <v>0.97246909999999998</v>
      </c>
    </row>
    <row r="4611" spans="1:6" x14ac:dyDescent="0.25">
      <c r="A4611" t="s">
        <v>6</v>
      </c>
      <c r="B4611" s="5" t="str">
        <f>HYPERLINK("http://www.broadinstitute.org/gsea/msigdb/cards/GOBP_NEGATIVE_REGULATION_OF_PHOSPHOPROTEIN_PHOSPHATASE_ACTIVITY.html","GOBP_NEGATIVE_REGULATION_OF_PHOSPHOPROTEIN_PHOSPHATASE_ACTIVITY")</f>
        <v>GOBP_NEGATIVE_REGULATION_OF_PHOSPHOPROTEIN_PHOSPHATASE_ACTIVITY</v>
      </c>
      <c r="C4611" s="4">
        <v>22</v>
      </c>
      <c r="D4611" s="3">
        <v>-0.72604769999999996</v>
      </c>
      <c r="E4611" s="1">
        <v>0.8678304</v>
      </c>
      <c r="F4611" s="2">
        <v>0.97238539999999996</v>
      </c>
    </row>
    <row r="4612" spans="1:6" x14ac:dyDescent="0.25">
      <c r="A4612" t="s">
        <v>10</v>
      </c>
      <c r="B4612" s="5" t="str">
        <f>HYPERLINK("http://www.broadinstitute.org/gsea/msigdb/cards/REACTOME_G0_AND_EARLY_G1.html","REACTOME_G0_AND_EARLY_G1")</f>
        <v>REACTOME_G0_AND_EARLY_G1</v>
      </c>
      <c r="C4612" s="4">
        <v>17</v>
      </c>
      <c r="D4612" s="3">
        <v>-0.72738689999999995</v>
      </c>
      <c r="E4612" s="1">
        <v>0.83924350000000003</v>
      </c>
      <c r="F4612" s="2">
        <v>0.97165420000000002</v>
      </c>
    </row>
    <row r="4613" spans="1:6" x14ac:dyDescent="0.25">
      <c r="A4613" t="s">
        <v>6</v>
      </c>
      <c r="B4613" s="5" t="str">
        <f>HYPERLINK("http://www.broadinstitute.org/gsea/msigdb/cards/GOBP_RESPONSE_TO_FATTY_ACID.html","GOBP_RESPONSE_TO_FATTY_ACID")</f>
        <v>GOBP_RESPONSE_TO_FATTY_ACID</v>
      </c>
      <c r="C4613" s="4">
        <v>43</v>
      </c>
      <c r="D4613" s="3">
        <v>-0.72747499999999998</v>
      </c>
      <c r="E4613" s="1">
        <v>0.91089109999999995</v>
      </c>
      <c r="F4613" s="2">
        <v>0.97206265000000003</v>
      </c>
    </row>
    <row r="4614" spans="1:6" x14ac:dyDescent="0.25">
      <c r="A4614" t="s">
        <v>7</v>
      </c>
      <c r="B4614" s="5" t="str">
        <f>HYPERLINK("http://www.broadinstitute.org/gsea/msigdb/cards/GOCC_NUCLEAR_REPLICATION_FORK.html","GOCC_NUCLEAR_REPLICATION_FORK")</f>
        <v>GOCC_NUCLEAR_REPLICATION_FORK</v>
      </c>
      <c r="C4614" s="4">
        <v>38</v>
      </c>
      <c r="D4614" s="3">
        <v>-0.72900145999999999</v>
      </c>
      <c r="E4614" s="1">
        <v>0.92561983999999997</v>
      </c>
      <c r="F4614" s="2">
        <v>0.97112279999999995</v>
      </c>
    </row>
    <row r="4615" spans="1:6" x14ac:dyDescent="0.25">
      <c r="A4615" t="s">
        <v>8</v>
      </c>
      <c r="B4615" s="5" t="str">
        <f>HYPERLINK("http://www.broadinstitute.org/gsea/msigdb/cards/GOMF_ORGANIC_CATION_TRANSMEMBRANE_TRANSPORTER_ACTIVITY.html","GOMF_ORGANIC_CATION_TRANSMEMBRANE_TRANSPORTER_ACTIVITY")</f>
        <v>GOMF_ORGANIC_CATION_TRANSMEMBRANE_TRANSPORTER_ACTIVITY</v>
      </c>
      <c r="C4615" s="4">
        <v>38</v>
      </c>
      <c r="D4615" s="3">
        <v>-0.72956644999999998</v>
      </c>
      <c r="E4615" s="1">
        <v>0.91025639999999997</v>
      </c>
      <c r="F4615" s="2">
        <v>0.97106170000000003</v>
      </c>
    </row>
    <row r="4616" spans="1:6" x14ac:dyDescent="0.25">
      <c r="A4616" t="s">
        <v>6</v>
      </c>
      <c r="B4616" s="5" t="str">
        <f>HYPERLINK("http://www.broadinstitute.org/gsea/msigdb/cards/GOBP_POSITIVE_REGULATION_OF_CALCIUM_ION_IMPORT_ACROSS_PLASMA_MEMBRANE.html","GOBP_POSITIVE_REGULATION_OF_CALCIUM_ION_IMPORT_ACROSS_PLASMA_MEMBRANE")</f>
        <v>GOBP_POSITIVE_REGULATION_OF_CALCIUM_ION_IMPORT_ACROSS_PLASMA_MEMBRANE</v>
      </c>
      <c r="C4616" s="4">
        <v>15</v>
      </c>
      <c r="D4616" s="3">
        <v>-0.73004740000000001</v>
      </c>
      <c r="E4616" s="1">
        <v>0.82432430000000001</v>
      </c>
      <c r="F4616" s="2">
        <v>0.97108644</v>
      </c>
    </row>
    <row r="4617" spans="1:6" x14ac:dyDescent="0.25">
      <c r="A4617" t="s">
        <v>6</v>
      </c>
      <c r="B4617" s="5" t="str">
        <f>HYPERLINK("http://www.broadinstitute.org/gsea/msigdb/cards/GOBP_POSITIVE_REGULATION_OF_DOUBLE_STRAND_BREAK_REPAIR_VIA_NONHOMOLOGOUS_END_JOINING.html","GOBP_POSITIVE_REGULATION_OF_DOUBLE_STRAND_BREAK_REPAIR_VIA_NONHOMOLOGOUS_END_JOINING")</f>
        <v>GOBP_POSITIVE_REGULATION_OF_DOUBLE_STRAND_BREAK_REPAIR_VIA_NONHOMOLOGOUS_END_JOINING</v>
      </c>
      <c r="C4617" s="4">
        <v>15</v>
      </c>
      <c r="D4617" s="3">
        <v>-0.73114734999999997</v>
      </c>
      <c r="E4617" s="1">
        <v>0.84869974999999998</v>
      </c>
      <c r="F4617" s="2">
        <v>0.97054149999999995</v>
      </c>
    </row>
    <row r="4618" spans="1:6" x14ac:dyDescent="0.25">
      <c r="A4618" t="s">
        <v>11</v>
      </c>
      <c r="B4618" s="5" t="str">
        <f>HYPERLINK("http://www.broadinstitute.org/gsea/msigdb/cards/WP_CHOLESTEROL_METABOLISM_WITH_BLOCH_AND_KANDUTSCH_RUSSELL_PATHWAYS.html","WP_CHOLESTEROL_METABOLISM_WITH_BLOCH_AND_KANDUTSCH_RUSSELL_PATHWAYS")</f>
        <v>WP_CHOLESTEROL_METABOLISM_WITH_BLOCH_AND_KANDUTSCH_RUSSELL_PATHWAYS</v>
      </c>
      <c r="C4618" s="4">
        <v>52</v>
      </c>
      <c r="D4618" s="3">
        <v>-0.73199550000000002</v>
      </c>
      <c r="E4618" s="1">
        <v>0.93650794000000004</v>
      </c>
      <c r="F4618" s="2">
        <v>0.97017889999999996</v>
      </c>
    </row>
    <row r="4619" spans="1:6" x14ac:dyDescent="0.25">
      <c r="A4619" t="s">
        <v>8</v>
      </c>
      <c r="B4619" s="5" t="str">
        <f>HYPERLINK("http://www.broadinstitute.org/gsea/msigdb/cards/GOMF_HYDROLASE_ACTIVITY_ACTING_ON_CARBON_NITROGEN_BUT_NOT_PEPTIDE_BONDS_IN_CYCLIC_AMIDES.html","GOMF_HYDROLASE_ACTIVITY_ACTING_ON_CARBON_NITROGEN_BUT_NOT_PEPTIDE_BONDS_IN_CYCLIC_AMIDES")</f>
        <v>GOMF_HYDROLASE_ACTIVITY_ACTING_ON_CARBON_NITROGEN_BUT_NOT_PEPTIDE_BONDS_IN_CYCLIC_AMIDES</v>
      </c>
      <c r="C4619" s="4">
        <v>15</v>
      </c>
      <c r="D4619" s="3">
        <v>-0.73244189999999998</v>
      </c>
      <c r="E4619" s="1">
        <v>0.83375317000000004</v>
      </c>
      <c r="F4619" s="2">
        <v>0.97022896999999997</v>
      </c>
    </row>
    <row r="4620" spans="1:6" x14ac:dyDescent="0.25">
      <c r="A4620" t="s">
        <v>8</v>
      </c>
      <c r="B4620" s="5" t="str">
        <f>HYPERLINK("http://www.broadinstitute.org/gsea/msigdb/cards/GOMF_MONOATOMIC_ANION_MONOATOMIC_CATION_SYMPORTER_ACTIVITY.html","GOMF_MONOATOMIC_ANION_MONOATOMIC_CATION_SYMPORTER_ACTIVITY")</f>
        <v>GOMF_MONOATOMIC_ANION_MONOATOMIC_CATION_SYMPORTER_ACTIVITY</v>
      </c>
      <c r="C4620" s="4">
        <v>26</v>
      </c>
      <c r="D4620" s="3">
        <v>-0.73276609999999998</v>
      </c>
      <c r="E4620" s="1">
        <v>0.84259260000000002</v>
      </c>
      <c r="F4620" s="2">
        <v>0.97038937000000003</v>
      </c>
    </row>
    <row r="4621" spans="1:6" x14ac:dyDescent="0.25">
      <c r="A4621" t="s">
        <v>6</v>
      </c>
      <c r="B4621" s="5" t="str">
        <f>HYPERLINK("http://www.broadinstitute.org/gsea/msigdb/cards/GOBP_REGULATION_OF_TELOMERE_MAINTENANCE_VIA_TELOMERASE.html","GOBP_REGULATION_OF_TELOMERE_MAINTENANCE_VIA_TELOMERASE")</f>
        <v>GOBP_REGULATION_OF_TELOMERE_MAINTENANCE_VIA_TELOMERASE</v>
      </c>
      <c r="C4621" s="4">
        <v>49</v>
      </c>
      <c r="D4621" s="3">
        <v>-0.73291063000000001</v>
      </c>
      <c r="E4621" s="1">
        <v>0.93438319999999997</v>
      </c>
      <c r="F4621" s="2">
        <v>0.97071300000000005</v>
      </c>
    </row>
    <row r="4622" spans="1:6" x14ac:dyDescent="0.25">
      <c r="A4622" t="s">
        <v>8</v>
      </c>
      <c r="B4622" s="5" t="str">
        <f>HYPERLINK("http://www.broadinstitute.org/gsea/msigdb/cards/GOMF_PROTEIN_HORMONE_RECEPTOR_ACTIVITY.html","GOMF_PROTEIN_HORMONE_RECEPTOR_ACTIVITY")</f>
        <v>GOMF_PROTEIN_HORMONE_RECEPTOR_ACTIVITY</v>
      </c>
      <c r="C4622" s="4">
        <v>20</v>
      </c>
      <c r="D4622" s="3">
        <v>-0.73373425000000003</v>
      </c>
      <c r="E4622" s="1">
        <v>0.86310905000000004</v>
      </c>
      <c r="F4622" s="2">
        <v>0.97039839999999999</v>
      </c>
    </row>
    <row r="4623" spans="1:6" x14ac:dyDescent="0.25">
      <c r="A4623" t="s">
        <v>6</v>
      </c>
      <c r="B4623" s="5" t="str">
        <f>HYPERLINK("http://www.broadinstitute.org/gsea/msigdb/cards/GOBP_MRNA_METHYLATION.html","GOBP_MRNA_METHYLATION")</f>
        <v>GOBP_MRNA_METHYLATION</v>
      </c>
      <c r="C4623" s="4">
        <v>19</v>
      </c>
      <c r="D4623" s="3">
        <v>-0.7342902</v>
      </c>
      <c r="E4623" s="1">
        <v>0.83726420000000001</v>
      </c>
      <c r="F4623" s="2">
        <v>0.97032755999999998</v>
      </c>
    </row>
    <row r="4624" spans="1:6" x14ac:dyDescent="0.25">
      <c r="A4624" t="s">
        <v>8</v>
      </c>
      <c r="B4624" s="5" t="str">
        <f>HYPERLINK("http://www.broadinstitute.org/gsea/msigdb/cards/GOMF_OXIDOREDUCTASE_ACTIVITY_ACTING_ON_CH_OH_GROUP_OF_DONORS.html","GOMF_OXIDOREDUCTASE_ACTIVITY_ACTING_ON_CH_OH_GROUP_OF_DONORS")</f>
        <v>GOMF_OXIDOREDUCTASE_ACTIVITY_ACTING_ON_CH_OH_GROUP_OF_DONORS</v>
      </c>
      <c r="C4624" s="4">
        <v>138</v>
      </c>
      <c r="D4624" s="3">
        <v>-0.73465060000000004</v>
      </c>
      <c r="E4624" s="1">
        <v>0.98820059999999998</v>
      </c>
      <c r="F4624" s="2">
        <v>0.97045590000000004</v>
      </c>
    </row>
    <row r="4625" spans="1:6" x14ac:dyDescent="0.25">
      <c r="A4625" t="s">
        <v>6</v>
      </c>
      <c r="B4625" s="5" t="str">
        <f>HYPERLINK("http://www.broadinstitute.org/gsea/msigdb/cards/GOBP_PARAXIAL_MESODERM_DEVELOPMENT.html","GOBP_PARAXIAL_MESODERM_DEVELOPMENT")</f>
        <v>GOBP_PARAXIAL_MESODERM_DEVELOPMENT</v>
      </c>
      <c r="C4625" s="4">
        <v>24</v>
      </c>
      <c r="D4625" s="3">
        <v>-0.73541469999999998</v>
      </c>
      <c r="E4625" s="1">
        <v>0.87041559999999996</v>
      </c>
      <c r="F4625" s="2">
        <v>0.9701573</v>
      </c>
    </row>
    <row r="4626" spans="1:6" x14ac:dyDescent="0.25">
      <c r="A4626" t="s">
        <v>8</v>
      </c>
      <c r="B4626" s="5" t="str">
        <f>HYPERLINK("http://www.broadinstitute.org/gsea/msigdb/cards/GOMF_SUMO_TRANSFERASE_ACTIVITY.html","GOMF_SUMO_TRANSFERASE_ACTIVITY")</f>
        <v>GOMF_SUMO_TRANSFERASE_ACTIVITY</v>
      </c>
      <c r="C4626" s="4">
        <v>24</v>
      </c>
      <c r="D4626" s="3">
        <v>-0.74031334999999998</v>
      </c>
      <c r="E4626" s="1">
        <v>0.83451540000000002</v>
      </c>
      <c r="F4626" s="2">
        <v>0.96566350000000001</v>
      </c>
    </row>
    <row r="4627" spans="1:6" x14ac:dyDescent="0.25">
      <c r="A4627" t="s">
        <v>8</v>
      </c>
      <c r="B4627" s="5" t="str">
        <f>HYPERLINK("http://www.broadinstitute.org/gsea/msigdb/cards/GOMF_VOLTAGE_GATED_MONOATOMIC_CATION_CHANNEL_ACTIVITY.html","GOMF_VOLTAGE_GATED_MONOATOMIC_CATION_CHANNEL_ACTIVITY")</f>
        <v>GOMF_VOLTAGE_GATED_MONOATOMIC_CATION_CHANNEL_ACTIVITY</v>
      </c>
      <c r="C4627" s="4">
        <v>139</v>
      </c>
      <c r="D4627" s="3">
        <v>-0.74125730000000001</v>
      </c>
      <c r="E4627" s="1">
        <v>0.99137929999999996</v>
      </c>
      <c r="F4627" s="2">
        <v>0.96520214999999998</v>
      </c>
    </row>
    <row r="4628" spans="1:6" x14ac:dyDescent="0.25">
      <c r="A4628" t="s">
        <v>8</v>
      </c>
      <c r="B4628" s="5" t="str">
        <f>HYPERLINK("http://www.broadinstitute.org/gsea/msigdb/cards/GOMF_LIGAND_GATED_MONOATOMIC_ANION_CHANNEL_ACTIVITY.html","GOMF_LIGAND_GATED_MONOATOMIC_ANION_CHANNEL_ACTIVITY")</f>
        <v>GOMF_LIGAND_GATED_MONOATOMIC_ANION_CHANNEL_ACTIVITY</v>
      </c>
      <c r="C4628" s="4">
        <v>21</v>
      </c>
      <c r="D4628" s="3">
        <v>-0.74138959999999998</v>
      </c>
      <c r="E4628" s="1">
        <v>0.83924350000000003</v>
      </c>
      <c r="F4628" s="2">
        <v>0.96554035000000005</v>
      </c>
    </row>
    <row r="4629" spans="1:6" x14ac:dyDescent="0.25">
      <c r="A4629" t="s">
        <v>6</v>
      </c>
      <c r="B4629" s="5" t="str">
        <f>HYPERLINK("http://www.broadinstitute.org/gsea/msigdb/cards/GOBP_FEMALE_MEIOTIC_NUCLEAR_DIVISION.html","GOBP_FEMALE_MEIOTIC_NUCLEAR_DIVISION")</f>
        <v>GOBP_FEMALE_MEIOTIC_NUCLEAR_DIVISION</v>
      </c>
      <c r="C4629" s="4">
        <v>44</v>
      </c>
      <c r="D4629" s="3">
        <v>-0.74171819999999999</v>
      </c>
      <c r="E4629" s="1">
        <v>0.90909094000000001</v>
      </c>
      <c r="F4629" s="2">
        <v>0.96567917000000003</v>
      </c>
    </row>
    <row r="4630" spans="1:6" x14ac:dyDescent="0.25">
      <c r="A4630" t="s">
        <v>10</v>
      </c>
      <c r="B4630" s="5" t="str">
        <f>HYPERLINK("http://www.broadinstitute.org/gsea/msigdb/cards/REACTOME_RAS_PROCESSING.html","REACTOME_RAS_PROCESSING")</f>
        <v>REACTOME_RAS_PROCESSING</v>
      </c>
      <c r="C4630" s="4">
        <v>23</v>
      </c>
      <c r="D4630" s="3">
        <v>-0.74325399999999997</v>
      </c>
      <c r="E4630" s="1">
        <v>0.83908044999999998</v>
      </c>
      <c r="F4630" s="2">
        <v>0.96457565000000001</v>
      </c>
    </row>
    <row r="4631" spans="1:6" x14ac:dyDescent="0.25">
      <c r="A4631" t="s">
        <v>7</v>
      </c>
      <c r="B4631" s="5" t="str">
        <f>HYPERLINK("http://www.broadinstitute.org/gsea/msigdb/cards/GOCC_MYOSIN_FILAMENT.html","GOCC_MYOSIN_FILAMENT")</f>
        <v>GOCC_MYOSIN_FILAMENT</v>
      </c>
      <c r="C4631" s="4">
        <v>22</v>
      </c>
      <c r="D4631" s="3">
        <v>-0.74421822999999998</v>
      </c>
      <c r="E4631" s="1">
        <v>0.83574879999999996</v>
      </c>
      <c r="F4631" s="2">
        <v>0.9640512</v>
      </c>
    </row>
    <row r="4632" spans="1:6" x14ac:dyDescent="0.25">
      <c r="A4632" t="s">
        <v>7</v>
      </c>
      <c r="B4632" s="5" t="str">
        <f>HYPERLINK("http://www.broadinstitute.org/gsea/msigdb/cards/GOCC_INTERCELLULAR_BRIDGE.html","GOCC_INTERCELLULAR_BRIDGE")</f>
        <v>GOCC_INTERCELLULAR_BRIDGE</v>
      </c>
      <c r="C4632" s="4">
        <v>91</v>
      </c>
      <c r="D4632" s="3">
        <v>-0.74487935999999999</v>
      </c>
      <c r="E4632" s="1">
        <v>0.95583594000000005</v>
      </c>
      <c r="F4632" s="2">
        <v>0.96381276999999999</v>
      </c>
    </row>
    <row r="4633" spans="1:6" x14ac:dyDescent="0.25">
      <c r="A4633" t="s">
        <v>8</v>
      </c>
      <c r="B4633" s="5" t="str">
        <f>HYPERLINK("http://www.broadinstitute.org/gsea/msigdb/cards/GOMF_ACID_AMINO_ACID_LIGASE_ACTIVITY.html","GOMF_ACID_AMINO_ACID_LIGASE_ACTIVITY")</f>
        <v>GOMF_ACID_AMINO_ACID_LIGASE_ACTIVITY</v>
      </c>
      <c r="C4633" s="4">
        <v>22</v>
      </c>
      <c r="D4633" s="3">
        <v>-0.74598330000000002</v>
      </c>
      <c r="E4633" s="1">
        <v>0.83916086000000001</v>
      </c>
      <c r="F4633" s="2">
        <v>0.96308629999999995</v>
      </c>
    </row>
    <row r="4634" spans="1:6" x14ac:dyDescent="0.25">
      <c r="A4634" t="s">
        <v>6</v>
      </c>
      <c r="B4634" s="5" t="str">
        <f>HYPERLINK("http://www.broadinstitute.org/gsea/msigdb/cards/GOBP_POSITIVE_REGULATION_OF_DENDRITIC_SPINE_MORPHOGENESIS.html","GOBP_POSITIVE_REGULATION_OF_DENDRITIC_SPINE_MORPHOGENESIS")</f>
        <v>GOBP_POSITIVE_REGULATION_OF_DENDRITIC_SPINE_MORPHOGENESIS</v>
      </c>
      <c r="C4634" s="4">
        <v>30</v>
      </c>
      <c r="D4634" s="3">
        <v>-0.74614170000000002</v>
      </c>
      <c r="E4634" s="1">
        <v>0.86</v>
      </c>
      <c r="F4634" s="2">
        <v>0.96339929999999996</v>
      </c>
    </row>
    <row r="4635" spans="1:6" x14ac:dyDescent="0.25">
      <c r="A4635" t="s">
        <v>6</v>
      </c>
      <c r="B4635" s="5" t="str">
        <f>HYPERLINK("http://www.broadinstitute.org/gsea/msigdb/cards/GOBP_NEGATIVE_REGULATION_OF_GLUCONEOGENESIS.html","GOBP_NEGATIVE_REGULATION_OF_GLUCONEOGENESIS")</f>
        <v>GOBP_NEGATIVE_REGULATION_OF_GLUCONEOGENESIS</v>
      </c>
      <c r="C4635" s="4">
        <v>19</v>
      </c>
      <c r="D4635" s="3">
        <v>-0.74680089999999999</v>
      </c>
      <c r="E4635" s="1">
        <v>0.84403669999999997</v>
      </c>
      <c r="F4635" s="2">
        <v>0.96312690000000001</v>
      </c>
    </row>
    <row r="4636" spans="1:6" x14ac:dyDescent="0.25">
      <c r="A4636" t="s">
        <v>6</v>
      </c>
      <c r="B4636" s="5" t="str">
        <f>HYPERLINK("http://www.broadinstitute.org/gsea/msigdb/cards/GOBP_INSULIN_SECRETION_INVOLVED_IN_CELLULAR_RESPONSE_TO_GLUCOSE_STIMULUS.html","GOBP_INSULIN_SECRETION_INVOLVED_IN_CELLULAR_RESPONSE_TO_GLUCOSE_STIMULUS")</f>
        <v>GOBP_INSULIN_SECRETION_INVOLVED_IN_CELLULAR_RESPONSE_TO_GLUCOSE_STIMULUS</v>
      </c>
      <c r="C4636" s="4">
        <v>93</v>
      </c>
      <c r="D4636" s="3">
        <v>-0.74695149999999999</v>
      </c>
      <c r="E4636" s="1">
        <v>0.97252744000000002</v>
      </c>
      <c r="F4636" s="2">
        <v>0.96343106000000001</v>
      </c>
    </row>
    <row r="4637" spans="1:6" x14ac:dyDescent="0.25">
      <c r="A4637" t="s">
        <v>8</v>
      </c>
      <c r="B4637" s="5" t="str">
        <f>HYPERLINK("http://www.broadinstitute.org/gsea/msigdb/cards/GOMF_MECHANOSENSITIVE_MONOATOMIC_ION_CHANNEL_ACTIVITY.html","GOMF_MECHANOSENSITIVE_MONOATOMIC_ION_CHANNEL_ACTIVITY")</f>
        <v>GOMF_MECHANOSENSITIVE_MONOATOMIC_ION_CHANNEL_ACTIVITY</v>
      </c>
      <c r="C4637" s="4">
        <v>17</v>
      </c>
      <c r="D4637" s="3">
        <v>-0.7473052</v>
      </c>
      <c r="E4637" s="1">
        <v>0.83046679999999995</v>
      </c>
      <c r="F4637" s="2">
        <v>0.96353906</v>
      </c>
    </row>
    <row r="4638" spans="1:6" x14ac:dyDescent="0.25">
      <c r="A4638" t="s">
        <v>6</v>
      </c>
      <c r="B4638" s="5" t="str">
        <f>HYPERLINK("http://www.broadinstitute.org/gsea/msigdb/cards/GOBP_THIOESTER_METABOLIC_PROCESS.html","GOBP_THIOESTER_METABOLIC_PROCESS")</f>
        <v>GOBP_THIOESTER_METABOLIC_PROCESS</v>
      </c>
      <c r="C4638" s="4">
        <v>85</v>
      </c>
      <c r="D4638" s="3">
        <v>-0.74882024999999997</v>
      </c>
      <c r="E4638" s="1">
        <v>0.97375330000000004</v>
      </c>
      <c r="F4638" s="2">
        <v>0.96237046000000004</v>
      </c>
    </row>
    <row r="4639" spans="1:6" x14ac:dyDescent="0.25">
      <c r="A4639" t="s">
        <v>6</v>
      </c>
      <c r="B4639" s="5" t="str">
        <f>HYPERLINK("http://www.broadinstitute.org/gsea/msigdb/cards/GOBP_REGULATION_OF_MEMBRANE_REPOLARIZATION.html","GOBP_REGULATION_OF_MEMBRANE_REPOLARIZATION")</f>
        <v>GOBP_REGULATION_OF_MEMBRANE_REPOLARIZATION</v>
      </c>
      <c r="C4639" s="4">
        <v>34</v>
      </c>
      <c r="D4639" s="3">
        <v>-0.7488245</v>
      </c>
      <c r="E4639" s="1">
        <v>0.87212276</v>
      </c>
      <c r="F4639" s="2">
        <v>0.96285220000000005</v>
      </c>
    </row>
    <row r="4640" spans="1:6" x14ac:dyDescent="0.25">
      <c r="A4640" t="s">
        <v>6</v>
      </c>
      <c r="B4640" s="5" t="str">
        <f>HYPERLINK("http://www.broadinstitute.org/gsea/msigdb/cards/GOBP_KETONE_BIOSYNTHETIC_PROCESS.html","GOBP_KETONE_BIOSYNTHETIC_PROCESS")</f>
        <v>GOBP_KETONE_BIOSYNTHETIC_PROCESS</v>
      </c>
      <c r="C4640" s="4">
        <v>49</v>
      </c>
      <c r="D4640" s="3">
        <v>-0.75047045999999995</v>
      </c>
      <c r="E4640" s="1">
        <v>0.9063291</v>
      </c>
      <c r="F4640" s="2">
        <v>0.96152126999999998</v>
      </c>
    </row>
    <row r="4641" spans="1:6" x14ac:dyDescent="0.25">
      <c r="A4641" t="s">
        <v>6</v>
      </c>
      <c r="B4641" s="5" t="str">
        <f>HYPERLINK("http://www.broadinstitute.org/gsea/msigdb/cards/GOBP_POTASSIUM_ION_IMPORT_ACROSS_PLASMA_MEMBRANE.html","GOBP_POTASSIUM_ION_IMPORT_ACROSS_PLASMA_MEMBRANE")</f>
        <v>GOBP_POTASSIUM_ION_IMPORT_ACROSS_PLASMA_MEMBRANE</v>
      </c>
      <c r="C4641" s="4">
        <v>46</v>
      </c>
      <c r="D4641" s="3">
        <v>-0.75199870000000002</v>
      </c>
      <c r="E4641" s="1">
        <v>0.92892160000000001</v>
      </c>
      <c r="F4641" s="2">
        <v>0.96026944999999997</v>
      </c>
    </row>
    <row r="4642" spans="1:6" x14ac:dyDescent="0.25">
      <c r="A4642" t="s">
        <v>6</v>
      </c>
      <c r="B4642" s="5" t="str">
        <f>HYPERLINK("http://www.broadinstitute.org/gsea/msigdb/cards/GOBP_NOREPINEPHRINE_METABOLIC_PROCESS.html","GOBP_NOREPINEPHRINE_METABOLIC_PROCESS")</f>
        <v>GOBP_NOREPINEPHRINE_METABOLIC_PROCESS</v>
      </c>
      <c r="C4642" s="4">
        <v>17</v>
      </c>
      <c r="D4642" s="3">
        <v>-0.75342655000000003</v>
      </c>
      <c r="E4642" s="1">
        <v>0.80361176000000001</v>
      </c>
      <c r="F4642" s="2">
        <v>0.9591442</v>
      </c>
    </row>
    <row r="4643" spans="1:6" x14ac:dyDescent="0.25">
      <c r="A4643" t="s">
        <v>8</v>
      </c>
      <c r="B4643" s="5" t="str">
        <f>HYPERLINK("http://www.broadinstitute.org/gsea/msigdb/cards/GOMF_LYSOPHOSPHOLIPID_ACYLTRANSFERASE_ACTIVITY.html","GOMF_LYSOPHOSPHOLIPID_ACYLTRANSFERASE_ACTIVITY")</f>
        <v>GOMF_LYSOPHOSPHOLIPID_ACYLTRANSFERASE_ACTIVITY</v>
      </c>
      <c r="C4643" s="4">
        <v>18</v>
      </c>
      <c r="D4643" s="3">
        <v>-0.75372373999999998</v>
      </c>
      <c r="E4643" s="1">
        <v>0.83173079999999999</v>
      </c>
      <c r="F4643" s="2">
        <v>0.95930486999999998</v>
      </c>
    </row>
    <row r="4644" spans="1:6" x14ac:dyDescent="0.25">
      <c r="A4644" t="s">
        <v>7</v>
      </c>
      <c r="B4644" s="5" t="str">
        <f>HYPERLINK("http://www.broadinstitute.org/gsea/msigdb/cards/GOCC_APICAL_DENDRITE.html","GOCC_APICAL_DENDRITE")</f>
        <v>GOCC_APICAL_DENDRITE</v>
      </c>
      <c r="C4644" s="4">
        <v>30</v>
      </c>
      <c r="D4644" s="3">
        <v>-0.75403964999999995</v>
      </c>
      <c r="E4644" s="1">
        <v>0.82891566000000005</v>
      </c>
      <c r="F4644" s="2">
        <v>0.95941169999999998</v>
      </c>
    </row>
    <row r="4645" spans="1:6" x14ac:dyDescent="0.25">
      <c r="A4645" t="s">
        <v>6</v>
      </c>
      <c r="B4645" s="5" t="str">
        <f>HYPERLINK("http://www.broadinstitute.org/gsea/msigdb/cards/GOBP_ORGANIC_CATION_TRANSPORT.html","GOBP_ORGANIC_CATION_TRANSPORT")</f>
        <v>GOBP_ORGANIC_CATION_TRANSPORT</v>
      </c>
      <c r="C4645" s="4">
        <v>67</v>
      </c>
      <c r="D4645" s="3">
        <v>-0.7562103</v>
      </c>
      <c r="E4645" s="1">
        <v>0.94900850000000003</v>
      </c>
      <c r="F4645" s="2">
        <v>0.95737050000000001</v>
      </c>
    </row>
    <row r="4646" spans="1:6" x14ac:dyDescent="0.25">
      <c r="A4646" t="s">
        <v>6</v>
      </c>
      <c r="B4646" s="5" t="str">
        <f>HYPERLINK("http://www.broadinstitute.org/gsea/msigdb/cards/GOBP_NEGATIVE_REGULATION_OF_TUMOR_NECROSIS_FACTOR_MEDIATED_SIGNALING_PATHWAY.html","GOBP_NEGATIVE_REGULATION_OF_TUMOR_NECROSIS_FACTOR_MEDIATED_SIGNALING_PATHWAY")</f>
        <v>GOBP_NEGATIVE_REGULATION_OF_TUMOR_NECROSIS_FACTOR_MEDIATED_SIGNALING_PATHWAY</v>
      </c>
      <c r="C4646" s="4">
        <v>20</v>
      </c>
      <c r="D4646" s="3">
        <v>-0.75627489999999997</v>
      </c>
      <c r="E4646" s="1">
        <v>0.83410139999999999</v>
      </c>
      <c r="F4646" s="2">
        <v>0.95777409999999996</v>
      </c>
    </row>
    <row r="4647" spans="1:6" x14ac:dyDescent="0.25">
      <c r="A4647" t="s">
        <v>6</v>
      </c>
      <c r="B4647" s="5" t="str">
        <f>HYPERLINK("http://www.broadinstitute.org/gsea/msigdb/cards/GOBP_BASE_EXCISION_REPAIR.html","GOBP_BASE_EXCISION_REPAIR")</f>
        <v>GOBP_BASE_EXCISION_REPAIR</v>
      </c>
      <c r="C4647" s="4">
        <v>41</v>
      </c>
      <c r="D4647" s="3">
        <v>-0.75666564999999997</v>
      </c>
      <c r="E4647" s="1">
        <v>0.87989556999999996</v>
      </c>
      <c r="F4647" s="2">
        <v>0.95777749999999995</v>
      </c>
    </row>
    <row r="4648" spans="1:6" x14ac:dyDescent="0.25">
      <c r="A4648" t="s">
        <v>6</v>
      </c>
      <c r="B4648" s="5" t="str">
        <f>HYPERLINK("http://www.broadinstitute.org/gsea/msigdb/cards/GOBP_MITOTIC_DNA_INTEGRITY_CHECKPOINT_SIGNALING.html","GOBP_MITOTIC_DNA_INTEGRITY_CHECKPOINT_SIGNALING")</f>
        <v>GOBP_MITOTIC_DNA_INTEGRITY_CHECKPOINT_SIGNALING</v>
      </c>
      <c r="C4648" s="4">
        <v>84</v>
      </c>
      <c r="D4648" s="3">
        <v>-0.75673889999999999</v>
      </c>
      <c r="E4648" s="1">
        <v>0.94084509999999999</v>
      </c>
      <c r="F4648" s="2">
        <v>0.95817375000000005</v>
      </c>
    </row>
    <row r="4649" spans="1:6" x14ac:dyDescent="0.25">
      <c r="A4649" t="s">
        <v>6</v>
      </c>
      <c r="B4649" s="5" t="str">
        <f>HYPERLINK("http://www.broadinstitute.org/gsea/msigdb/cards/GOBP_REGULATION_OF_SENSORY_PERCEPTION.html","GOBP_REGULATION_OF_SENSORY_PERCEPTION")</f>
        <v>GOBP_REGULATION_OF_SENSORY_PERCEPTION</v>
      </c>
      <c r="C4649" s="4">
        <v>21</v>
      </c>
      <c r="D4649" s="3">
        <v>-0.75913109999999995</v>
      </c>
      <c r="E4649" s="1">
        <v>0.82808714999999999</v>
      </c>
      <c r="F4649" s="2">
        <v>0.9558468</v>
      </c>
    </row>
    <row r="4650" spans="1:6" x14ac:dyDescent="0.25">
      <c r="A4650" t="s">
        <v>8</v>
      </c>
      <c r="B4650" s="5" t="str">
        <f>HYPERLINK("http://www.broadinstitute.org/gsea/msigdb/cards/GOMF_CAMP_BINDING.html","GOMF_CAMP_BINDING")</f>
        <v>GOMF_CAMP_BINDING</v>
      </c>
      <c r="C4650" s="4">
        <v>21</v>
      </c>
      <c r="D4650" s="3">
        <v>-0.75920080000000001</v>
      </c>
      <c r="E4650" s="1">
        <v>0.83410139999999999</v>
      </c>
      <c r="F4650" s="2">
        <v>0.95624920000000002</v>
      </c>
    </row>
    <row r="4651" spans="1:6" x14ac:dyDescent="0.25">
      <c r="A4651" t="s">
        <v>6</v>
      </c>
      <c r="B4651" s="5" t="str">
        <f>HYPERLINK("http://www.broadinstitute.org/gsea/msigdb/cards/GOBP_ADRENAL_GLAND_DEVELOPMENT.html","GOBP_ADRENAL_GLAND_DEVELOPMENT")</f>
        <v>GOBP_ADRENAL_GLAND_DEVELOPMENT</v>
      </c>
      <c r="C4651" s="4">
        <v>22</v>
      </c>
      <c r="D4651" s="3">
        <v>-0.75939745000000003</v>
      </c>
      <c r="E4651" s="1">
        <v>0.82311319999999999</v>
      </c>
      <c r="F4651" s="2">
        <v>0.95651140000000001</v>
      </c>
    </row>
    <row r="4652" spans="1:6" x14ac:dyDescent="0.25">
      <c r="A4652" t="s">
        <v>6</v>
      </c>
      <c r="B4652" s="5" t="str">
        <f>HYPERLINK("http://www.broadinstitute.org/gsea/msigdb/cards/GOBP_RENAL_WATER_HOMEOSTASIS.html","GOBP_RENAL_WATER_HOMEOSTASIS")</f>
        <v>GOBP_RENAL_WATER_HOMEOSTASIS</v>
      </c>
      <c r="C4652" s="4">
        <v>16</v>
      </c>
      <c r="D4652" s="3">
        <v>-0.75987225999999997</v>
      </c>
      <c r="E4652" s="1">
        <v>0.80089485999999999</v>
      </c>
      <c r="F4652" s="2">
        <v>0.95643769999999995</v>
      </c>
    </row>
    <row r="4653" spans="1:6" x14ac:dyDescent="0.25">
      <c r="A4653" t="s">
        <v>10</v>
      </c>
      <c r="B4653" s="5" t="str">
        <f>HYPERLINK("http://www.broadinstitute.org/gsea/msigdb/cards/REACTOME_PKR_MEDIATED_SIGNALING.html","REACTOME_PKR_MEDIATED_SIGNALING")</f>
        <v>REACTOME_PKR_MEDIATED_SIGNALING</v>
      </c>
      <c r="C4653" s="4">
        <v>65</v>
      </c>
      <c r="D4653" s="3">
        <v>-0.75991699999999995</v>
      </c>
      <c r="E4653" s="1">
        <v>0.92771082999999999</v>
      </c>
      <c r="F4653" s="2">
        <v>0.95685995000000001</v>
      </c>
    </row>
    <row r="4654" spans="1:6" x14ac:dyDescent="0.25">
      <c r="A4654" t="s">
        <v>11</v>
      </c>
      <c r="B4654" s="5" t="str">
        <f>HYPERLINK("http://www.broadinstitute.org/gsea/msigdb/cards/WP_GDNF_RET_SIGNALING_AXIS.html","WP_GDNF_RET_SIGNALING_AXIS")</f>
        <v>WP_GDNF_RET_SIGNALING_AXIS</v>
      </c>
      <c r="C4654" s="4">
        <v>23</v>
      </c>
      <c r="D4654" s="3">
        <v>-0.76080990000000004</v>
      </c>
      <c r="E4654" s="1">
        <v>0.8125</v>
      </c>
      <c r="F4654" s="2">
        <v>0.95628833999999996</v>
      </c>
    </row>
    <row r="4655" spans="1:6" x14ac:dyDescent="0.25">
      <c r="A4655" t="s">
        <v>6</v>
      </c>
      <c r="B4655" s="5" t="str">
        <f>HYPERLINK("http://www.broadinstitute.org/gsea/msigdb/cards/GOBP_MATURATION_OF_LSU_RRNA_FROM_TRICISTRONIC_RRNA_TRANSCRIPT_SSU_RRNA_5_8S_RRNA_LSU_RRNA.html","GOBP_MATURATION_OF_LSU_RRNA_FROM_TRICISTRONIC_RRNA_TRANSCRIPT_SSU_RRNA_5_8S_RRNA_LSU_RRNA")</f>
        <v>GOBP_MATURATION_OF_LSU_RRNA_FROM_TRICISTRONIC_RRNA_TRANSCRIPT_SSU_RRNA_5_8S_RRNA_LSU_RRNA</v>
      </c>
      <c r="C4655" s="4">
        <v>17</v>
      </c>
      <c r="D4655" s="3">
        <v>-0.76095089999999999</v>
      </c>
      <c r="E4655" s="1">
        <v>0.80733942999999997</v>
      </c>
      <c r="F4655" s="2">
        <v>0.95659260000000002</v>
      </c>
    </row>
    <row r="4656" spans="1:6" x14ac:dyDescent="0.25">
      <c r="A4656" t="s">
        <v>6</v>
      </c>
      <c r="B4656" s="5" t="str">
        <f>HYPERLINK("http://www.broadinstitute.org/gsea/msigdb/cards/GOBP_NEGATIVE_REGULATION_OF_KERATINOCYTE_PROLIFERATION.html","GOBP_NEGATIVE_REGULATION_OF_KERATINOCYTE_PROLIFERATION")</f>
        <v>GOBP_NEGATIVE_REGULATION_OF_KERATINOCYTE_PROLIFERATION</v>
      </c>
      <c r="C4656" s="4">
        <v>27</v>
      </c>
      <c r="D4656" s="3">
        <v>-0.76116019999999995</v>
      </c>
      <c r="E4656" s="1">
        <v>0.85542165999999997</v>
      </c>
      <c r="F4656" s="2">
        <v>0.95683819999999997</v>
      </c>
    </row>
    <row r="4657" spans="1:6" x14ac:dyDescent="0.25">
      <c r="A4657" t="s">
        <v>6</v>
      </c>
      <c r="B4657" s="5" t="str">
        <f>HYPERLINK("http://www.broadinstitute.org/gsea/msigdb/cards/GOBP_NEGATIVE_REGULATION_OF_LYASE_ACTIVITY.html","GOBP_NEGATIVE_REGULATION_OF_LYASE_ACTIVITY")</f>
        <v>GOBP_NEGATIVE_REGULATION_OF_LYASE_ACTIVITY</v>
      </c>
      <c r="C4657" s="4">
        <v>19</v>
      </c>
      <c r="D4657" s="3">
        <v>-0.76140785</v>
      </c>
      <c r="E4657" s="1">
        <v>0.84389139999999996</v>
      </c>
      <c r="F4657" s="2">
        <v>0.95704036999999997</v>
      </c>
    </row>
    <row r="4658" spans="1:6" x14ac:dyDescent="0.25">
      <c r="A4658" t="s">
        <v>6</v>
      </c>
      <c r="B4658" s="5" t="str">
        <f>HYPERLINK("http://www.broadinstitute.org/gsea/msigdb/cards/GOBP_PHOSPHATIDYLGLYCEROL_METABOLIC_PROCESS.html","GOBP_PHOSPHATIDYLGLYCEROL_METABOLIC_PROCESS")</f>
        <v>GOBP_PHOSPHATIDYLGLYCEROL_METABOLIC_PROCESS</v>
      </c>
      <c r="C4658" s="4">
        <v>27</v>
      </c>
      <c r="D4658" s="3">
        <v>-0.76229069999999999</v>
      </c>
      <c r="E4658" s="1">
        <v>0.85714287</v>
      </c>
      <c r="F4658" s="2">
        <v>0.9564703</v>
      </c>
    </row>
    <row r="4659" spans="1:6" x14ac:dyDescent="0.25">
      <c r="A4659" t="s">
        <v>6</v>
      </c>
      <c r="B4659" s="5" t="str">
        <f>HYPERLINK("http://www.broadinstitute.org/gsea/msigdb/cards/GOBP_REFLEX.html","GOBP_REFLEX")</f>
        <v>GOBP_REFLEX</v>
      </c>
      <c r="C4659" s="4">
        <v>29</v>
      </c>
      <c r="D4659" s="3">
        <v>-0.76261604000000005</v>
      </c>
      <c r="E4659" s="1">
        <v>0.86104219999999998</v>
      </c>
      <c r="F4659" s="2">
        <v>0.95656030000000003</v>
      </c>
    </row>
    <row r="4660" spans="1:6" x14ac:dyDescent="0.25">
      <c r="A4660" t="s">
        <v>10</v>
      </c>
      <c r="B4660" s="5" t="str">
        <f>HYPERLINK("http://www.broadinstitute.org/gsea/msigdb/cards/REACTOME_PROTEIN_PROTEIN_INTERACTIONS_AT_SYNAPSES.html","REACTOME_PROTEIN_PROTEIN_INTERACTIONS_AT_SYNAPSES")</f>
        <v>REACTOME_PROTEIN_PROTEIN_INTERACTIONS_AT_SYNAPSES</v>
      </c>
      <c r="C4660" s="4">
        <v>66</v>
      </c>
      <c r="D4660" s="3">
        <v>-0.76352489999999995</v>
      </c>
      <c r="E4660" s="1">
        <v>0.92428195000000002</v>
      </c>
      <c r="F4660" s="2">
        <v>0.95596150000000002</v>
      </c>
    </row>
    <row r="4661" spans="1:6" x14ac:dyDescent="0.25">
      <c r="A4661" t="s">
        <v>6</v>
      </c>
      <c r="B4661" s="5" t="str">
        <f>HYPERLINK("http://www.broadinstitute.org/gsea/msigdb/cards/GOBP_REGULATION_OF_MITOTIC_SISTER_CHROMATID_SEGREGATION.html","GOBP_REGULATION_OF_MITOTIC_SISTER_CHROMATID_SEGREGATION")</f>
        <v>GOBP_REGULATION_OF_MITOTIC_SISTER_CHROMATID_SEGREGATION</v>
      </c>
      <c r="C4661" s="4">
        <v>55</v>
      </c>
      <c r="D4661" s="3">
        <v>-0.76376825999999998</v>
      </c>
      <c r="E4661" s="1">
        <v>0.89614240000000001</v>
      </c>
      <c r="F4661" s="2">
        <v>0.95614889999999997</v>
      </c>
    </row>
    <row r="4662" spans="1:6" x14ac:dyDescent="0.25">
      <c r="A4662" t="s">
        <v>6</v>
      </c>
      <c r="B4662" s="5" t="str">
        <f>HYPERLINK("http://www.broadinstitute.org/gsea/msigdb/cards/GOBP_SENSORY_PERCEPTION_OF_TASTE.html","GOBP_SENSORY_PERCEPTION_OF_TASTE")</f>
        <v>GOBP_SENSORY_PERCEPTION_OF_TASTE</v>
      </c>
      <c r="C4662" s="4">
        <v>36</v>
      </c>
      <c r="D4662" s="3">
        <v>-0.76432352999999997</v>
      </c>
      <c r="E4662" s="1">
        <v>0.84914840000000003</v>
      </c>
      <c r="F4662" s="2">
        <v>0.95591409999999999</v>
      </c>
    </row>
    <row r="4663" spans="1:6" x14ac:dyDescent="0.25">
      <c r="A4663" t="s">
        <v>6</v>
      </c>
      <c r="B4663" s="5" t="str">
        <f>HYPERLINK("http://www.broadinstitute.org/gsea/msigdb/cards/GOBP_DNA_CONFORMATION_CHANGE.html","GOBP_DNA_CONFORMATION_CHANGE")</f>
        <v>GOBP_DNA_CONFORMATION_CHANGE</v>
      </c>
      <c r="C4663" s="4">
        <v>60</v>
      </c>
      <c r="D4663" s="3">
        <v>-0.76442664999999999</v>
      </c>
      <c r="E4663" s="1">
        <v>0.88764050000000005</v>
      </c>
      <c r="F4663" s="2">
        <v>0.95627755000000003</v>
      </c>
    </row>
    <row r="4664" spans="1:6" x14ac:dyDescent="0.25">
      <c r="A4664" t="s">
        <v>6</v>
      </c>
      <c r="B4664" s="5" t="str">
        <f>HYPERLINK("http://www.broadinstitute.org/gsea/msigdb/cards/GOBP_POSITIVE_REGULATION_OF_TELOMERE_CAPPING.html","GOBP_POSITIVE_REGULATION_OF_TELOMERE_CAPPING")</f>
        <v>GOBP_POSITIVE_REGULATION_OF_TELOMERE_CAPPING</v>
      </c>
      <c r="C4664" s="4">
        <v>17</v>
      </c>
      <c r="D4664" s="3">
        <v>-0.76508319999999996</v>
      </c>
      <c r="E4664" s="1">
        <v>0.79665070000000004</v>
      </c>
      <c r="F4664" s="2">
        <v>0.95592440000000001</v>
      </c>
    </row>
    <row r="4665" spans="1:6" x14ac:dyDescent="0.25">
      <c r="A4665" t="s">
        <v>10</v>
      </c>
      <c r="B4665" s="5" t="str">
        <f>HYPERLINK("http://www.broadinstitute.org/gsea/msigdb/cards/REACTOME_SUMOYLATION_OF_DNA_DAMAGE_RESPONSE_AND_REPAIR_PROTEINS.html","REACTOME_SUMOYLATION_OF_DNA_DAMAGE_RESPONSE_AND_REPAIR_PROTEINS")</f>
        <v>REACTOME_SUMOYLATION_OF_DNA_DAMAGE_RESPONSE_AND_REPAIR_PROTEINS</v>
      </c>
      <c r="C4665" s="4">
        <v>74</v>
      </c>
      <c r="D4665" s="3">
        <v>-0.76647323000000001</v>
      </c>
      <c r="E4665" s="1">
        <v>0.90529245000000003</v>
      </c>
      <c r="F4665" s="2">
        <v>0.95464479999999996</v>
      </c>
    </row>
    <row r="4666" spans="1:6" x14ac:dyDescent="0.25">
      <c r="A4666" t="s">
        <v>6</v>
      </c>
      <c r="B4666" s="5" t="str">
        <f>HYPERLINK("http://www.broadinstitute.org/gsea/msigdb/cards/GOBP_POSITIVE_REGULATION_OF_CATECHOLAMINE_SECRETION.html","GOBP_POSITIVE_REGULATION_OF_CATECHOLAMINE_SECRETION")</f>
        <v>GOBP_POSITIVE_REGULATION_OF_CATECHOLAMINE_SECRETION</v>
      </c>
      <c r="C4666" s="4">
        <v>19</v>
      </c>
      <c r="D4666" s="3">
        <v>-0.76711446000000005</v>
      </c>
      <c r="E4666" s="1">
        <v>0.83789957000000004</v>
      </c>
      <c r="F4666" s="2">
        <v>0.9543431</v>
      </c>
    </row>
    <row r="4667" spans="1:6" x14ac:dyDescent="0.25">
      <c r="A4667" t="s">
        <v>10</v>
      </c>
      <c r="B4667" s="5" t="str">
        <f>HYPERLINK("http://www.broadinstitute.org/gsea/msigdb/cards/REACTOME_TP53_REGULATES_TRANSCRIPTION_OF_CELL_CYCLE_GENES.html","REACTOME_TP53_REGULATES_TRANSCRIPTION_OF_CELL_CYCLE_GENES")</f>
        <v>REACTOME_TP53_REGULATES_TRANSCRIPTION_OF_CELL_CYCLE_GENES</v>
      </c>
      <c r="C4667" s="4">
        <v>34</v>
      </c>
      <c r="D4667" s="3">
        <v>-0.76737180000000005</v>
      </c>
      <c r="E4667" s="1">
        <v>0.85427134999999998</v>
      </c>
      <c r="F4667" s="2">
        <v>0.95451339999999996</v>
      </c>
    </row>
    <row r="4668" spans="1:6" x14ac:dyDescent="0.25">
      <c r="A4668" t="s">
        <v>6</v>
      </c>
      <c r="B4668" s="5" t="str">
        <f>HYPERLINK("http://www.broadinstitute.org/gsea/msigdb/cards/GOBP_FERTILIZATION.html","GOBP_FERTILIZATION")</f>
        <v>GOBP_FERTILIZATION</v>
      </c>
      <c r="C4668" s="4">
        <v>194</v>
      </c>
      <c r="D4668" s="3">
        <v>-0.76773009999999997</v>
      </c>
      <c r="E4668" s="1">
        <v>0.9870968</v>
      </c>
      <c r="F4668" s="2">
        <v>0.95454819999999996</v>
      </c>
    </row>
    <row r="4669" spans="1:6" x14ac:dyDescent="0.25">
      <c r="A4669" t="s">
        <v>6</v>
      </c>
      <c r="B4669" s="5" t="str">
        <f>HYPERLINK("http://www.broadinstitute.org/gsea/msigdb/cards/GOBP_MEMBRANE_REPOLARIZATION.html","GOBP_MEMBRANE_REPOLARIZATION")</f>
        <v>GOBP_MEMBRANE_REPOLARIZATION</v>
      </c>
      <c r="C4669" s="4">
        <v>47</v>
      </c>
      <c r="D4669" s="3">
        <v>-0.76849495999999995</v>
      </c>
      <c r="E4669" s="1">
        <v>0.88292680000000001</v>
      </c>
      <c r="F4669" s="2">
        <v>0.95404445999999998</v>
      </c>
    </row>
    <row r="4670" spans="1:6" x14ac:dyDescent="0.25">
      <c r="A4670" t="s">
        <v>6</v>
      </c>
      <c r="B4670" s="5" t="str">
        <f>HYPERLINK("http://www.broadinstitute.org/gsea/msigdb/cards/GOBP_LIPOPROTEIN_BIOSYNTHETIC_PROCESS.html","GOBP_LIPOPROTEIN_BIOSYNTHETIC_PROCESS")</f>
        <v>GOBP_LIPOPROTEIN_BIOSYNTHETIC_PROCESS</v>
      </c>
      <c r="C4670" s="4">
        <v>100</v>
      </c>
      <c r="D4670" s="3">
        <v>-0.76864239999999995</v>
      </c>
      <c r="E4670" s="1">
        <v>0.95015574000000003</v>
      </c>
      <c r="F4670" s="2">
        <v>0.95433955999999998</v>
      </c>
    </row>
    <row r="4671" spans="1:6" x14ac:dyDescent="0.25">
      <c r="A4671" t="s">
        <v>7</v>
      </c>
      <c r="B4671" s="5" t="str">
        <f>HYPERLINK("http://www.broadinstitute.org/gsea/msigdb/cards/GOCC_MITOTIC_SPINDLE.html","GOCC_MITOTIC_SPINDLE")</f>
        <v>GOCC_MITOTIC_SPINDLE</v>
      </c>
      <c r="C4671" s="4">
        <v>179</v>
      </c>
      <c r="D4671" s="3">
        <v>-0.76951223999999996</v>
      </c>
      <c r="E4671" s="1">
        <v>0.98397433999999995</v>
      </c>
      <c r="F4671" s="2">
        <v>0.95372089999999998</v>
      </c>
    </row>
    <row r="4672" spans="1:6" x14ac:dyDescent="0.25">
      <c r="A4672" t="s">
        <v>10</v>
      </c>
      <c r="B4672" s="5" t="str">
        <f>HYPERLINK("http://www.broadinstitute.org/gsea/msigdb/cards/REACTOME_FANCONI_ANEMIA_PATHWAY.html","REACTOME_FANCONI_ANEMIA_PATHWAY")</f>
        <v>REACTOME_FANCONI_ANEMIA_PATHWAY</v>
      </c>
      <c r="C4672" s="4">
        <v>36</v>
      </c>
      <c r="D4672" s="3">
        <v>-0.76985959999999998</v>
      </c>
      <c r="E4672" s="1">
        <v>0.85128205999999995</v>
      </c>
      <c r="F4672" s="2">
        <v>0.95374959999999998</v>
      </c>
    </row>
    <row r="4673" spans="1:6" x14ac:dyDescent="0.25">
      <c r="A4673" t="s">
        <v>6</v>
      </c>
      <c r="B4673" s="5" t="str">
        <f>HYPERLINK("http://www.broadinstitute.org/gsea/msigdb/cards/GOBP_VIRAL_RNA_GENOME_REPLICATION.html","GOBP_VIRAL_RNA_GENOME_REPLICATION")</f>
        <v>GOBP_VIRAL_RNA_GENOME_REPLICATION</v>
      </c>
      <c r="C4673" s="4">
        <v>27</v>
      </c>
      <c r="D4673" s="3">
        <v>-0.77063565999999994</v>
      </c>
      <c r="E4673" s="1">
        <v>0.84197533000000002</v>
      </c>
      <c r="F4673" s="2">
        <v>0.95327883999999996</v>
      </c>
    </row>
    <row r="4674" spans="1:6" x14ac:dyDescent="0.25">
      <c r="A4674" t="s">
        <v>6</v>
      </c>
      <c r="B4674" s="5" t="str">
        <f>HYPERLINK("http://www.broadinstitute.org/gsea/msigdb/cards/GOBP_REGULATION_OF_TYPE_B_PANCREATIC_CELL_PROLIFERATION.html","GOBP_REGULATION_OF_TYPE_B_PANCREATIC_CELL_PROLIFERATION")</f>
        <v>GOBP_REGULATION_OF_TYPE_B_PANCREATIC_CELL_PROLIFERATION</v>
      </c>
      <c r="C4674" s="4">
        <v>20</v>
      </c>
      <c r="D4674" s="3">
        <v>-0.77104099999999998</v>
      </c>
      <c r="E4674" s="1">
        <v>0.79625290000000004</v>
      </c>
      <c r="F4674" s="2">
        <v>0.95326869999999997</v>
      </c>
    </row>
    <row r="4675" spans="1:6" x14ac:dyDescent="0.25">
      <c r="A4675" t="s">
        <v>6</v>
      </c>
      <c r="B4675" s="5" t="str">
        <f>HYPERLINK("http://www.broadinstitute.org/gsea/msigdb/cards/GOBP_NEGATIVE_REGULATION_OF_REACTIVE_OXYGEN_SPECIES_BIOSYNTHETIC_PROCESS.html","GOBP_NEGATIVE_REGULATION_OF_REACTIVE_OXYGEN_SPECIES_BIOSYNTHETIC_PROCESS")</f>
        <v>GOBP_NEGATIVE_REGULATION_OF_REACTIVE_OXYGEN_SPECIES_BIOSYNTHETIC_PROCESS</v>
      </c>
      <c r="C4675" s="4">
        <v>19</v>
      </c>
      <c r="D4675" s="3">
        <v>-0.77206370000000002</v>
      </c>
      <c r="E4675" s="1">
        <v>0.82830625999999996</v>
      </c>
      <c r="F4675" s="2">
        <v>0.95239280000000004</v>
      </c>
    </row>
    <row r="4676" spans="1:6" x14ac:dyDescent="0.25">
      <c r="A4676" t="s">
        <v>6</v>
      </c>
      <c r="B4676" s="5" t="str">
        <f>HYPERLINK("http://www.broadinstitute.org/gsea/msigdb/cards/GOBP_PROTON_TRANSPORTING_TWO_SECTOR_ATPASE_COMPLEX_ASSEMBLY.html","GOBP_PROTON_TRANSPORTING_TWO_SECTOR_ATPASE_COMPLEX_ASSEMBLY")</f>
        <v>GOBP_PROTON_TRANSPORTING_TWO_SECTOR_ATPASE_COMPLEX_ASSEMBLY</v>
      </c>
      <c r="C4676" s="4">
        <v>16</v>
      </c>
      <c r="D4676" s="3">
        <v>-0.7724569</v>
      </c>
      <c r="E4676" s="1">
        <v>0.76814990000000005</v>
      </c>
      <c r="F4676" s="2">
        <v>0.95234640000000004</v>
      </c>
    </row>
    <row r="4677" spans="1:6" x14ac:dyDescent="0.25">
      <c r="A4677" t="s">
        <v>6</v>
      </c>
      <c r="B4677" s="5" t="str">
        <f>HYPERLINK("http://www.broadinstitute.org/gsea/msigdb/cards/GOBP_NOSE_DEVELOPMENT.html","GOBP_NOSE_DEVELOPMENT")</f>
        <v>GOBP_NOSE_DEVELOPMENT</v>
      </c>
      <c r="C4677" s="4">
        <v>16</v>
      </c>
      <c r="D4677" s="3">
        <v>-0.77274469999999995</v>
      </c>
      <c r="E4677" s="1">
        <v>0.80516434000000003</v>
      </c>
      <c r="F4677" s="2">
        <v>0.95244353999999998</v>
      </c>
    </row>
    <row r="4678" spans="1:6" x14ac:dyDescent="0.25">
      <c r="A4678" t="s">
        <v>6</v>
      </c>
      <c r="B4678" s="5" t="str">
        <f>HYPERLINK("http://www.broadinstitute.org/gsea/msigdb/cards/GOBP_REGULATION_OF_ADENYLATE_CYCLASE_ACTIVITY.html","GOBP_REGULATION_OF_ADENYLATE_CYCLASE_ACTIVITY")</f>
        <v>GOBP_REGULATION_OF_ADENYLATE_CYCLASE_ACTIVITY</v>
      </c>
      <c r="C4678" s="4">
        <v>47</v>
      </c>
      <c r="D4678" s="3">
        <v>-0.77284633999999997</v>
      </c>
      <c r="E4678" s="1">
        <v>0.88359790000000005</v>
      </c>
      <c r="F4678" s="2">
        <v>0.95279100000000005</v>
      </c>
    </row>
    <row r="4679" spans="1:6" x14ac:dyDescent="0.25">
      <c r="A4679" t="s">
        <v>6</v>
      </c>
      <c r="B4679" s="5" t="str">
        <f>HYPERLINK("http://www.broadinstitute.org/gsea/msigdb/cards/GOBP_INORGANIC_ANION_TRANSMEMBRANE_TRANSPORT.html","GOBP_INORGANIC_ANION_TRANSMEMBRANE_TRANSPORT")</f>
        <v>GOBP_INORGANIC_ANION_TRANSMEMBRANE_TRANSPORT</v>
      </c>
      <c r="C4679" s="4">
        <v>88</v>
      </c>
      <c r="D4679" s="3">
        <v>-0.77350129999999995</v>
      </c>
      <c r="E4679" s="1">
        <v>0.95726496000000005</v>
      </c>
      <c r="F4679" s="2">
        <v>0.9524146</v>
      </c>
    </row>
    <row r="4680" spans="1:6" x14ac:dyDescent="0.25">
      <c r="A4680" t="s">
        <v>6</v>
      </c>
      <c r="B4680" s="5" t="str">
        <f>HYPERLINK("http://www.broadinstitute.org/gsea/msigdb/cards/GOBP_POLARIZED_EPITHELIAL_CELL_DIFFERENTIATION.html","GOBP_POLARIZED_EPITHELIAL_CELL_DIFFERENTIATION")</f>
        <v>GOBP_POLARIZED_EPITHELIAL_CELL_DIFFERENTIATION</v>
      </c>
      <c r="C4680" s="4">
        <v>26</v>
      </c>
      <c r="D4680" s="3">
        <v>-0.77355576000000004</v>
      </c>
      <c r="E4680" s="1">
        <v>0.83132530000000004</v>
      </c>
      <c r="F4680" s="2">
        <v>0.95282876000000005</v>
      </c>
    </row>
    <row r="4681" spans="1:6" x14ac:dyDescent="0.25">
      <c r="A4681" t="s">
        <v>6</v>
      </c>
      <c r="B4681" s="5" t="str">
        <f>HYPERLINK("http://www.broadinstitute.org/gsea/msigdb/cards/GOBP_NEGATIVE_REGULATION_OF_LIPID_BIOSYNTHETIC_PROCESS.html","GOBP_NEGATIVE_REGULATION_OF_LIPID_BIOSYNTHETIC_PROCESS")</f>
        <v>GOBP_NEGATIVE_REGULATION_OF_LIPID_BIOSYNTHETIC_PROCESS</v>
      </c>
      <c r="C4681" s="4">
        <v>64</v>
      </c>
      <c r="D4681" s="3">
        <v>-0.77524850000000001</v>
      </c>
      <c r="E4681" s="1">
        <v>0.88648649999999996</v>
      </c>
      <c r="F4681" s="2">
        <v>0.95099336000000001</v>
      </c>
    </row>
    <row r="4682" spans="1:6" x14ac:dyDescent="0.25">
      <c r="A4682" t="s">
        <v>10</v>
      </c>
      <c r="B4682" s="5" t="str">
        <f>HYPERLINK("http://www.broadinstitute.org/gsea/msigdb/cards/REACTOME_TRAFFICKING_OF_GLUR2_CONTAINING_AMPA_RECEPTORS.html","REACTOME_TRAFFICKING_OF_GLUR2_CONTAINING_AMPA_RECEPTORS")</f>
        <v>REACTOME_TRAFFICKING_OF_GLUR2_CONTAINING_AMPA_RECEPTORS</v>
      </c>
      <c r="C4682" s="4">
        <v>16</v>
      </c>
      <c r="D4682" s="3">
        <v>-0.77570205999999997</v>
      </c>
      <c r="E4682" s="1">
        <v>0.80278419999999995</v>
      </c>
      <c r="F4682" s="2">
        <v>0.95086300000000001</v>
      </c>
    </row>
    <row r="4683" spans="1:6" x14ac:dyDescent="0.25">
      <c r="A4683" t="s">
        <v>6</v>
      </c>
      <c r="B4683" s="5" t="str">
        <f>HYPERLINK("http://www.broadinstitute.org/gsea/msigdb/cards/GOBP_POSITIVE_REGULATION_OF_CHROMOSOME_SEGREGATION.html","GOBP_POSITIVE_REGULATION_OF_CHROMOSOME_SEGREGATION")</f>
        <v>GOBP_POSITIVE_REGULATION_OF_CHROMOSOME_SEGREGATION</v>
      </c>
      <c r="C4683" s="4">
        <v>29</v>
      </c>
      <c r="D4683" s="3">
        <v>-0.7760804</v>
      </c>
      <c r="E4683" s="1">
        <v>0.84560570000000002</v>
      </c>
      <c r="F4683" s="2">
        <v>0.95083720000000005</v>
      </c>
    </row>
    <row r="4684" spans="1:6" x14ac:dyDescent="0.25">
      <c r="A4684" t="s">
        <v>10</v>
      </c>
      <c r="B4684" s="5" t="str">
        <f>HYPERLINK("http://www.broadinstitute.org/gsea/msigdb/cards/REACTOME_SENSORY_PERCEPTION.html","REACTOME_SENSORY_PERCEPTION")</f>
        <v>REACTOME_SENSORY_PERCEPTION</v>
      </c>
      <c r="C4684" s="4">
        <v>118</v>
      </c>
      <c r="D4684" s="3">
        <v>-0.77626379999999995</v>
      </c>
      <c r="E4684" s="1">
        <v>0.94294290000000003</v>
      </c>
      <c r="F4684" s="2">
        <v>0.95108990000000004</v>
      </c>
    </row>
    <row r="4685" spans="1:6" x14ac:dyDescent="0.25">
      <c r="A4685" t="s">
        <v>6</v>
      </c>
      <c r="B4685" s="5" t="str">
        <f>HYPERLINK("http://www.broadinstitute.org/gsea/msigdb/cards/GOBP_DNA_TEMPLATED_DNA_REPLICATION.html","GOBP_DNA_TEMPLATED_DNA_REPLICATION")</f>
        <v>GOBP_DNA_TEMPLATED_DNA_REPLICATION</v>
      </c>
      <c r="C4685" s="4">
        <v>148</v>
      </c>
      <c r="D4685" s="3">
        <v>-0.77668893000000006</v>
      </c>
      <c r="E4685" s="1">
        <v>0.96153843000000006</v>
      </c>
      <c r="F4685" s="2">
        <v>0.95099056000000004</v>
      </c>
    </row>
    <row r="4686" spans="1:6" x14ac:dyDescent="0.25">
      <c r="A4686" t="s">
        <v>6</v>
      </c>
      <c r="B4686" s="5" t="str">
        <f>HYPERLINK("http://www.broadinstitute.org/gsea/msigdb/cards/GOBP_POSITIVE_REGULATION_OF_STEM_CELL_PROLIFERATION.html","GOBP_POSITIVE_REGULATION_OF_STEM_CELL_PROLIFERATION")</f>
        <v>GOBP_POSITIVE_REGULATION_OF_STEM_CELL_PROLIFERATION</v>
      </c>
      <c r="C4686" s="4">
        <v>59</v>
      </c>
      <c r="D4686" s="3">
        <v>-0.77750706999999997</v>
      </c>
      <c r="E4686" s="1">
        <v>0.88601034999999995</v>
      </c>
      <c r="F4686" s="2">
        <v>0.95035329999999996</v>
      </c>
    </row>
    <row r="4687" spans="1:6" x14ac:dyDescent="0.25">
      <c r="A4687" t="s">
        <v>6</v>
      </c>
      <c r="B4687" s="5" t="str">
        <f>HYPERLINK("http://www.broadinstitute.org/gsea/msigdb/cards/GOBP_POSITIVE_REGULATION_OF_MEMBRANE_POTENTIAL.html","GOBP_POSITIVE_REGULATION_OF_MEMBRANE_POTENTIAL")</f>
        <v>GOBP_POSITIVE_REGULATION_OF_MEMBRANE_POTENTIAL</v>
      </c>
      <c r="C4687" s="4">
        <v>24</v>
      </c>
      <c r="D4687" s="3">
        <v>-0.77925690000000003</v>
      </c>
      <c r="E4687" s="1">
        <v>0.81585079999999999</v>
      </c>
      <c r="F4687" s="2">
        <v>0.94841074999999997</v>
      </c>
    </row>
    <row r="4688" spans="1:6" x14ac:dyDescent="0.25">
      <c r="A4688" t="s">
        <v>6</v>
      </c>
      <c r="B4688" s="5" t="str">
        <f>HYPERLINK("http://www.broadinstitute.org/gsea/msigdb/cards/GOBP_POSITIVE_REGULATION_OF_ADENYLATE_CYCLASE_ACTIVITY.html","GOBP_POSITIVE_REGULATION_OF_ADENYLATE_CYCLASE_ACTIVITY")</f>
        <v>GOBP_POSITIVE_REGULATION_OF_ADENYLATE_CYCLASE_ACTIVITY</v>
      </c>
      <c r="C4688" s="4">
        <v>31</v>
      </c>
      <c r="D4688" s="3">
        <v>-0.77961559999999996</v>
      </c>
      <c r="E4688" s="1">
        <v>0.8125</v>
      </c>
      <c r="F4688" s="2">
        <v>0.94840884000000003</v>
      </c>
    </row>
    <row r="4689" spans="1:6" x14ac:dyDescent="0.25">
      <c r="A4689" t="s">
        <v>6</v>
      </c>
      <c r="B4689" s="5" t="str">
        <f>HYPERLINK("http://www.broadinstitute.org/gsea/msigdb/cards/GOBP_WALKING_BEHAVIOR.html","GOBP_WALKING_BEHAVIOR")</f>
        <v>GOBP_WALKING_BEHAVIOR</v>
      </c>
      <c r="C4689" s="4">
        <v>53</v>
      </c>
      <c r="D4689" s="3">
        <v>-0.7797229</v>
      </c>
      <c r="E4689" s="1">
        <v>0.89071034999999998</v>
      </c>
      <c r="F4689" s="2">
        <v>0.94875383000000002</v>
      </c>
    </row>
    <row r="4690" spans="1:6" x14ac:dyDescent="0.25">
      <c r="A4690" t="s">
        <v>6</v>
      </c>
      <c r="B4690" s="5" t="str">
        <f>HYPERLINK("http://www.broadinstitute.org/gsea/msigdb/cards/GOBP_REGULATION_OF_POTASSIUM_ION_TRANSMEMBRANE_TRANSPORTER_ACTIVITY.html","GOBP_REGULATION_OF_POTASSIUM_ION_TRANSMEMBRANE_TRANSPORTER_ACTIVITY")</f>
        <v>GOBP_REGULATION_OF_POTASSIUM_ION_TRANSMEMBRANE_TRANSPORTER_ACTIVITY</v>
      </c>
      <c r="C4690" s="4">
        <v>66</v>
      </c>
      <c r="D4690" s="3">
        <v>-0.77988840000000004</v>
      </c>
      <c r="E4690" s="1">
        <v>0.90704225999999999</v>
      </c>
      <c r="F4690" s="2">
        <v>0.9490307</v>
      </c>
    </row>
    <row r="4691" spans="1:6" x14ac:dyDescent="0.25">
      <c r="A4691" t="s">
        <v>8</v>
      </c>
      <c r="B4691" s="5" t="str">
        <f>HYPERLINK("http://www.broadinstitute.org/gsea/msigdb/cards/GOMF_DNA_DAMAGE_SENSOR_ACTIVITY.html","GOMF_DNA_DAMAGE_SENSOR_ACTIVITY")</f>
        <v>GOMF_DNA_DAMAGE_SENSOR_ACTIVITY</v>
      </c>
      <c r="C4691" s="4">
        <v>16</v>
      </c>
      <c r="D4691" s="3">
        <v>-0.78008515</v>
      </c>
      <c r="E4691" s="1">
        <v>0.76008969999999998</v>
      </c>
      <c r="F4691" s="2">
        <v>0.94923880000000005</v>
      </c>
    </row>
    <row r="4692" spans="1:6" x14ac:dyDescent="0.25">
      <c r="A4692" t="s">
        <v>7</v>
      </c>
      <c r="B4692" s="5" t="str">
        <f>HYPERLINK("http://www.broadinstitute.org/gsea/msigdb/cards/GOCC_VOLTAGE_GATED_POTASSIUM_CHANNEL_COMPLEX.html","GOCC_VOLTAGE_GATED_POTASSIUM_CHANNEL_COMPLEX")</f>
        <v>GOCC_VOLTAGE_GATED_POTASSIUM_CHANNEL_COMPLEX</v>
      </c>
      <c r="C4692" s="4">
        <v>75</v>
      </c>
      <c r="D4692" s="3">
        <v>-0.78151979999999999</v>
      </c>
      <c r="E4692" s="1">
        <v>0.90519875000000005</v>
      </c>
      <c r="F4692" s="2">
        <v>0.94770264999999998</v>
      </c>
    </row>
    <row r="4693" spans="1:6" x14ac:dyDescent="0.25">
      <c r="A4693" t="s">
        <v>8</v>
      </c>
      <c r="B4693" s="5" t="str">
        <f>HYPERLINK("http://www.broadinstitute.org/gsea/msigdb/cards/GOMF_ACYLTRANSFERASE_ACTIVITY_TRANSFERRING_GROUPS_OTHER_THAN_AMINO_ACYL_GROUPS.html","GOMF_ACYLTRANSFERASE_ACTIVITY_TRANSFERRING_GROUPS_OTHER_THAN_AMINO_ACYL_GROUPS")</f>
        <v>GOMF_ACYLTRANSFERASE_ACTIVITY_TRANSFERRING_GROUPS_OTHER_THAN_AMINO_ACYL_GROUPS</v>
      </c>
      <c r="C4693" s="4">
        <v>218</v>
      </c>
      <c r="D4693" s="3">
        <v>-0.78334490000000001</v>
      </c>
      <c r="E4693" s="1">
        <v>0.99637679999999995</v>
      </c>
      <c r="F4693" s="2">
        <v>0.94562376000000004</v>
      </c>
    </row>
    <row r="4694" spans="1:6" x14ac:dyDescent="0.25">
      <c r="A4694" t="s">
        <v>8</v>
      </c>
      <c r="B4694" s="5" t="str">
        <f>HYPERLINK("http://www.broadinstitute.org/gsea/msigdb/cards/GOMF_CARBOXYLESTERASE_ACTIVITY.html","GOMF_CARBOXYLESTERASE_ACTIVITY")</f>
        <v>GOMF_CARBOXYLESTERASE_ACTIVITY</v>
      </c>
      <c r="C4694" s="4">
        <v>16</v>
      </c>
      <c r="D4694" s="3">
        <v>-0.78390930000000003</v>
      </c>
      <c r="E4694" s="1">
        <v>0.77272724999999998</v>
      </c>
      <c r="F4694" s="2">
        <v>0.94528210000000001</v>
      </c>
    </row>
    <row r="4695" spans="1:6" x14ac:dyDescent="0.25">
      <c r="A4695" t="s">
        <v>6</v>
      </c>
      <c r="B4695" s="5" t="str">
        <f>HYPERLINK("http://www.broadinstitute.org/gsea/msigdb/cards/GOBP_PHOSPHATE_ION_TRANSPORT.html","GOBP_PHOSPHATE_ION_TRANSPORT")</f>
        <v>GOBP_PHOSPHATE_ION_TRANSPORT</v>
      </c>
      <c r="C4695" s="4">
        <v>27</v>
      </c>
      <c r="D4695" s="3">
        <v>-0.78415142999999998</v>
      </c>
      <c r="E4695" s="1">
        <v>0.80051150000000004</v>
      </c>
      <c r="F4695" s="2">
        <v>0.94543330000000003</v>
      </c>
    </row>
    <row r="4696" spans="1:6" x14ac:dyDescent="0.25">
      <c r="A4696" t="s">
        <v>10</v>
      </c>
      <c r="B4696" s="5" t="str">
        <f>HYPERLINK("http://www.broadinstitute.org/gsea/msigdb/cards/REACTOME_REGULATION_OF_APC_C_ACTIVATORS_BETWEEN_G1_S_AND_EARLY_ANAPHASE.html","REACTOME_REGULATION_OF_APC_C_ACTIVATORS_BETWEEN_G1_S_AND_EARLY_ANAPHASE")</f>
        <v>REACTOME_REGULATION_OF_APC_C_ACTIVATORS_BETWEEN_G1_S_AND_EARLY_ANAPHASE</v>
      </c>
      <c r="C4696" s="4">
        <v>35</v>
      </c>
      <c r="D4696" s="3">
        <v>-0.78421843000000002</v>
      </c>
      <c r="E4696" s="1">
        <v>0.83289820000000003</v>
      </c>
      <c r="F4696" s="2">
        <v>0.94582456000000004</v>
      </c>
    </row>
    <row r="4697" spans="1:6" x14ac:dyDescent="0.25">
      <c r="A4697" t="s">
        <v>10</v>
      </c>
      <c r="B4697" s="5" t="str">
        <f>HYPERLINK("http://www.broadinstitute.org/gsea/msigdb/cards/REACTOME_VITAMIN_B5_PANTOTHENATE_METABOLISM.html","REACTOME_VITAMIN_B5_PANTOTHENATE_METABOLISM")</f>
        <v>REACTOME_VITAMIN_B5_PANTOTHENATE_METABOLISM</v>
      </c>
      <c r="C4697" s="4">
        <v>15</v>
      </c>
      <c r="D4697" s="3">
        <v>-0.78422029999999998</v>
      </c>
      <c r="E4697" s="1">
        <v>0.76470590000000005</v>
      </c>
      <c r="F4697" s="2">
        <v>0.94631129999999997</v>
      </c>
    </row>
    <row r="4698" spans="1:6" x14ac:dyDescent="0.25">
      <c r="A4698" t="s">
        <v>7</v>
      </c>
      <c r="B4698" s="5" t="str">
        <f>HYPERLINK("http://www.broadinstitute.org/gsea/msigdb/cards/GOCC_VACUOLAR_PROTON_TRANSPORTING_V_TYPE_ATPASE_COMPLEX.html","GOCC_VACUOLAR_PROTON_TRANSPORTING_V_TYPE_ATPASE_COMPLEX")</f>
        <v>GOCC_VACUOLAR_PROTON_TRANSPORTING_V_TYPE_ATPASE_COMPLEX</v>
      </c>
      <c r="C4698" s="4">
        <v>23</v>
      </c>
      <c r="D4698" s="3">
        <v>-0.7844122</v>
      </c>
      <c r="E4698" s="1">
        <v>0.83502536999999999</v>
      </c>
      <c r="F4698" s="2">
        <v>0.94651490000000005</v>
      </c>
    </row>
    <row r="4699" spans="1:6" x14ac:dyDescent="0.25">
      <c r="A4699" t="s">
        <v>8</v>
      </c>
      <c r="B4699" s="5" t="str">
        <f>HYPERLINK("http://www.broadinstitute.org/gsea/msigdb/cards/GOMF_FIBROBLAST_GROWTH_FACTOR_BINDING.html","GOMF_FIBROBLAST_GROWTH_FACTOR_BINDING")</f>
        <v>GOMF_FIBROBLAST_GROWTH_FACTOR_BINDING</v>
      </c>
      <c r="C4699" s="4">
        <v>26</v>
      </c>
      <c r="D4699" s="3">
        <v>-0.78496604999999997</v>
      </c>
      <c r="E4699" s="1">
        <v>0.79249999999999998</v>
      </c>
      <c r="F4699" s="2">
        <v>0.94622309999999998</v>
      </c>
    </row>
    <row r="4700" spans="1:6" x14ac:dyDescent="0.25">
      <c r="A4700" t="s">
        <v>10</v>
      </c>
      <c r="B4700" s="5" t="str">
        <f>HYPERLINK("http://www.broadinstitute.org/gsea/msigdb/cards/REACTOME_RHO_GTPASES_ACTIVATE_PKNS.html","REACTOME_RHO_GTPASES_ACTIVATE_PKNS")</f>
        <v>REACTOME_RHO_GTPASES_ACTIVATE_PKNS</v>
      </c>
      <c r="C4700" s="4">
        <v>22</v>
      </c>
      <c r="D4700" s="3">
        <v>-0.78545575999999995</v>
      </c>
      <c r="E4700" s="1">
        <v>0.8</v>
      </c>
      <c r="F4700" s="2">
        <v>0.94598656999999997</v>
      </c>
    </row>
    <row r="4701" spans="1:6" x14ac:dyDescent="0.25">
      <c r="A4701" t="s">
        <v>10</v>
      </c>
      <c r="B4701" s="5" t="str">
        <f>HYPERLINK("http://www.broadinstitute.org/gsea/msigdb/cards/REACTOME_OLFACTORY_SIGNALING_PATHWAY.html","REACTOME_OLFACTORY_SIGNALING_PATHWAY")</f>
        <v>REACTOME_OLFACTORY_SIGNALING_PATHWAY</v>
      </c>
      <c r="C4701" s="4">
        <v>25</v>
      </c>
      <c r="D4701" s="3">
        <v>-0.78616649999999999</v>
      </c>
      <c r="E4701" s="1">
        <v>0.81927709999999998</v>
      </c>
      <c r="F4701" s="2">
        <v>0.94546160000000001</v>
      </c>
    </row>
    <row r="4702" spans="1:6" x14ac:dyDescent="0.25">
      <c r="A4702" t="s">
        <v>6</v>
      </c>
      <c r="B4702" s="5" t="str">
        <f>HYPERLINK("http://www.broadinstitute.org/gsea/msigdb/cards/GOBP_EMBRYONIC_SKELETAL_JOINT_DEVELOPMENT.html","GOBP_EMBRYONIC_SKELETAL_JOINT_DEVELOPMENT")</f>
        <v>GOBP_EMBRYONIC_SKELETAL_JOINT_DEVELOPMENT</v>
      </c>
      <c r="C4702" s="4">
        <v>16</v>
      </c>
      <c r="D4702" s="3">
        <v>-0.78631130000000005</v>
      </c>
      <c r="E4702" s="1">
        <v>0.75952379999999997</v>
      </c>
      <c r="F4702" s="2">
        <v>0.94573490000000004</v>
      </c>
    </row>
    <row r="4703" spans="1:6" x14ac:dyDescent="0.25">
      <c r="A4703" t="s">
        <v>10</v>
      </c>
      <c r="B4703" s="5" t="str">
        <f>HYPERLINK("http://www.broadinstitute.org/gsea/msigdb/cards/REACTOME_NA_CL_DEPENDENT_NEUROTRANSMITTER_TRANSPORTERS.html","REACTOME_NA_CL_DEPENDENT_NEUROTRANSMITTER_TRANSPORTERS")</f>
        <v>REACTOME_NA_CL_DEPENDENT_NEUROTRANSMITTER_TRANSPORTERS</v>
      </c>
      <c r="C4703" s="4">
        <v>19</v>
      </c>
      <c r="D4703" s="3">
        <v>-0.78653943999999998</v>
      </c>
      <c r="E4703" s="1">
        <v>0.77468353999999995</v>
      </c>
      <c r="F4703" s="2">
        <v>0.94590116000000002</v>
      </c>
    </row>
    <row r="4704" spans="1:6" x14ac:dyDescent="0.25">
      <c r="A4704" t="s">
        <v>6</v>
      </c>
      <c r="B4704" s="5" t="str">
        <f>HYPERLINK("http://www.broadinstitute.org/gsea/msigdb/cards/GOBP_NUCLEUS_ORGANIZATION.html","GOBP_NUCLEUS_ORGANIZATION")</f>
        <v>GOBP_NUCLEUS_ORGANIZATION</v>
      </c>
      <c r="C4704" s="4">
        <v>138</v>
      </c>
      <c r="D4704" s="3">
        <v>-0.78680380000000005</v>
      </c>
      <c r="E4704" s="1">
        <v>0.95412843999999997</v>
      </c>
      <c r="F4704" s="2">
        <v>0.94604087000000003</v>
      </c>
    </row>
    <row r="4705" spans="1:6" x14ac:dyDescent="0.25">
      <c r="A4705" t="s">
        <v>8</v>
      </c>
      <c r="B4705" s="5" t="str">
        <f>HYPERLINK("http://www.broadinstitute.org/gsea/msigdb/cards/GOMF_MAP_KINASE_ACTIVITY.html","GOMF_MAP_KINASE_ACTIVITY")</f>
        <v>GOMF_MAP_KINASE_ACTIVITY</v>
      </c>
      <c r="C4705" s="4">
        <v>16</v>
      </c>
      <c r="D4705" s="3">
        <v>-0.78758119999999998</v>
      </c>
      <c r="E4705" s="1">
        <v>0.75829387000000004</v>
      </c>
      <c r="F4705" s="2">
        <v>0.94542205000000001</v>
      </c>
    </row>
    <row r="4706" spans="1:6" x14ac:dyDescent="0.25">
      <c r="A4706" t="s">
        <v>6</v>
      </c>
      <c r="B4706" s="5" t="str">
        <f>HYPERLINK("http://www.broadinstitute.org/gsea/msigdb/cards/GOBP_REGULATION_OF_DNA_TEMPLATED_DNA_REPLICATION.html","GOBP_REGULATION_OF_DNA_TEMPLATED_DNA_REPLICATION")</f>
        <v>GOBP_REGULATION_OF_DNA_TEMPLATED_DNA_REPLICATION</v>
      </c>
      <c r="C4706" s="4">
        <v>38</v>
      </c>
      <c r="D4706" s="3">
        <v>-0.7879041</v>
      </c>
      <c r="E4706" s="1">
        <v>0.84635419999999995</v>
      </c>
      <c r="F4706" s="2">
        <v>0.94543840000000001</v>
      </c>
    </row>
    <row r="4707" spans="1:6" x14ac:dyDescent="0.25">
      <c r="A4707" t="s">
        <v>6</v>
      </c>
      <c r="B4707" s="5" t="str">
        <f>HYPERLINK("http://www.broadinstitute.org/gsea/msigdb/cards/GOBP_PRIMARY_MIRNA_PROCESSING.html","GOBP_PRIMARY_MIRNA_PROCESSING")</f>
        <v>GOBP_PRIMARY_MIRNA_PROCESSING</v>
      </c>
      <c r="C4707" s="4">
        <v>17</v>
      </c>
      <c r="D4707" s="3">
        <v>-0.78869723999999997</v>
      </c>
      <c r="E4707" s="1">
        <v>0.79389315999999999</v>
      </c>
      <c r="F4707" s="2">
        <v>0.94477325999999995</v>
      </c>
    </row>
    <row r="4708" spans="1:6" x14ac:dyDescent="0.25">
      <c r="A4708" t="s">
        <v>6</v>
      </c>
      <c r="B4708" s="5" t="str">
        <f>HYPERLINK("http://www.broadinstitute.org/gsea/msigdb/cards/GOBP_TRANSLESION_SYNTHESIS.html","GOBP_TRANSLESION_SYNTHESIS")</f>
        <v>GOBP_TRANSLESION_SYNTHESIS</v>
      </c>
      <c r="C4708" s="4">
        <v>21</v>
      </c>
      <c r="D4708" s="3">
        <v>-0.78940379999999999</v>
      </c>
      <c r="E4708" s="1">
        <v>0.79156910000000003</v>
      </c>
      <c r="F4708" s="2">
        <v>0.94424960000000002</v>
      </c>
    </row>
    <row r="4709" spans="1:6" x14ac:dyDescent="0.25">
      <c r="A4709" t="s">
        <v>7</v>
      </c>
      <c r="B4709" s="5" t="str">
        <f>HYPERLINK("http://www.broadinstitute.org/gsea/msigdb/cards/GOCC_EXTRINSIC_COMPONENT_OF_POSTSYNAPTIC_MEMBRANE.html","GOCC_EXTRINSIC_COMPONENT_OF_POSTSYNAPTIC_MEMBRANE")</f>
        <v>GOCC_EXTRINSIC_COMPONENT_OF_POSTSYNAPTIC_MEMBRANE</v>
      </c>
      <c r="C4709" s="4">
        <v>16</v>
      </c>
      <c r="D4709" s="3">
        <v>-0.78972125000000004</v>
      </c>
      <c r="E4709" s="1">
        <v>0.76885647000000001</v>
      </c>
      <c r="F4709" s="2">
        <v>0.94428630000000002</v>
      </c>
    </row>
    <row r="4710" spans="1:6" x14ac:dyDescent="0.25">
      <c r="A4710" t="s">
        <v>6</v>
      </c>
      <c r="B4710" s="5" t="str">
        <f>HYPERLINK("http://www.broadinstitute.org/gsea/msigdb/cards/GOBP_REGULATION_OF_GLUCONEOGENESIS.html","GOBP_REGULATION_OF_GLUCONEOGENESIS")</f>
        <v>GOBP_REGULATION_OF_GLUCONEOGENESIS</v>
      </c>
      <c r="C4710" s="4">
        <v>54</v>
      </c>
      <c r="D4710" s="3">
        <v>-0.79003595999999998</v>
      </c>
      <c r="E4710" s="1">
        <v>0.87368420000000002</v>
      </c>
      <c r="F4710" s="2">
        <v>0.94429046000000005</v>
      </c>
    </row>
    <row r="4711" spans="1:6" x14ac:dyDescent="0.25">
      <c r="A4711" t="s">
        <v>6</v>
      </c>
      <c r="B4711" s="5" t="str">
        <f>HYPERLINK("http://www.broadinstitute.org/gsea/msigdb/cards/GOBP_APOPTOTIC_PROCESS_INVOLVED_IN_MORPHOGENESIS.html","GOBP_APOPTOTIC_PROCESS_INVOLVED_IN_MORPHOGENESIS")</f>
        <v>GOBP_APOPTOTIC_PROCESS_INVOLVED_IN_MORPHOGENESIS</v>
      </c>
      <c r="C4711" s="4">
        <v>31</v>
      </c>
      <c r="D4711" s="3">
        <v>-0.79054250000000004</v>
      </c>
      <c r="E4711" s="1">
        <v>0.82481753999999996</v>
      </c>
      <c r="F4711" s="2">
        <v>0.94404655999999998</v>
      </c>
    </row>
    <row r="4712" spans="1:6" x14ac:dyDescent="0.25">
      <c r="A4712" t="s">
        <v>6</v>
      </c>
      <c r="B4712" s="5" t="str">
        <f>HYPERLINK("http://www.broadinstitute.org/gsea/msigdb/cards/GOBP_REGULATION_OF_POTASSIUM_ION_TRANSPORT.html","GOBP_REGULATION_OF_POTASSIUM_ION_TRANSPORT")</f>
        <v>GOBP_REGULATION_OF_POTASSIUM_ION_TRANSPORT</v>
      </c>
      <c r="C4712" s="4">
        <v>115</v>
      </c>
      <c r="D4712" s="3">
        <v>-0.79190916</v>
      </c>
      <c r="E4712" s="1">
        <v>0.94460639999999996</v>
      </c>
      <c r="F4712" s="2">
        <v>0.94247789999999998</v>
      </c>
    </row>
    <row r="4713" spans="1:6" x14ac:dyDescent="0.25">
      <c r="A4713" t="s">
        <v>6</v>
      </c>
      <c r="B4713" s="5" t="str">
        <f>HYPERLINK("http://www.broadinstitute.org/gsea/msigdb/cards/GOBP_NEGATIVE_REGULATION_OF_NEUROBLAST_PROLIFERATION.html","GOBP_NEGATIVE_REGULATION_OF_NEUROBLAST_PROLIFERATION")</f>
        <v>GOBP_NEGATIVE_REGULATION_OF_NEUROBLAST_PROLIFERATION</v>
      </c>
      <c r="C4713" s="4">
        <v>16</v>
      </c>
      <c r="D4713" s="3">
        <v>-0.79227300000000001</v>
      </c>
      <c r="E4713" s="1">
        <v>0.78468899999999997</v>
      </c>
      <c r="F4713" s="2">
        <v>0.94241750000000002</v>
      </c>
    </row>
    <row r="4714" spans="1:6" x14ac:dyDescent="0.25">
      <c r="A4714" t="s">
        <v>7</v>
      </c>
      <c r="B4714" s="5" t="str">
        <f>HYPERLINK("http://www.broadinstitute.org/gsea/msigdb/cards/GOCC_H4_H2A_HISTONE_ACETYLTRANSFERASE_COMPLEX.html","GOCC_H4_H2A_HISTONE_ACETYLTRANSFERASE_COMPLEX")</f>
        <v>GOCC_H4_H2A_HISTONE_ACETYLTRANSFERASE_COMPLEX</v>
      </c>
      <c r="C4714" s="4">
        <v>26</v>
      </c>
      <c r="D4714" s="3">
        <v>-0.79462429999999995</v>
      </c>
      <c r="E4714" s="1">
        <v>0.75844157000000001</v>
      </c>
      <c r="F4714" s="2">
        <v>0.93932055999999997</v>
      </c>
    </row>
    <row r="4715" spans="1:6" x14ac:dyDescent="0.25">
      <c r="A4715" t="s">
        <v>10</v>
      </c>
      <c r="B4715" s="5" t="str">
        <f>HYPERLINK("http://www.broadinstitute.org/gsea/msigdb/cards/REACTOME_EFFECTS_OF_PIP2_HYDROLYSIS.html","REACTOME_EFFECTS_OF_PIP2_HYDROLYSIS")</f>
        <v>REACTOME_EFFECTS_OF_PIP2_HYDROLYSIS</v>
      </c>
      <c r="C4715" s="4">
        <v>25</v>
      </c>
      <c r="D4715" s="3">
        <v>-0.79476946999999998</v>
      </c>
      <c r="E4715" s="1">
        <v>0.790404</v>
      </c>
      <c r="F4715" s="2">
        <v>0.93958969999999997</v>
      </c>
    </row>
    <row r="4716" spans="1:6" x14ac:dyDescent="0.25">
      <c r="A4716" t="s">
        <v>9</v>
      </c>
      <c r="B4716" s="5" t="str">
        <f>HYPERLINK("http://www.broadinstitute.org/gsea/msigdb/cards/HALLMARK_SPERMATOGENESIS.html","HALLMARK_SPERMATOGENESIS")</f>
        <v>HALLMARK_SPERMATOGENESIS</v>
      </c>
      <c r="C4716" s="4">
        <v>122</v>
      </c>
      <c r="D4716" s="3">
        <v>-0.7954116</v>
      </c>
      <c r="E4716" s="1">
        <v>0.92879259999999997</v>
      </c>
      <c r="F4716" s="2">
        <v>0.93910289999999996</v>
      </c>
    </row>
    <row r="4717" spans="1:6" x14ac:dyDescent="0.25">
      <c r="A4717" t="s">
        <v>6</v>
      </c>
      <c r="B4717" s="5" t="str">
        <f>HYPERLINK("http://www.broadinstitute.org/gsea/msigdb/cards/GOBP_TELOMERE_MAINTENANCE_VIA_RECOMBINATION.html","GOBP_TELOMERE_MAINTENANCE_VIA_RECOMBINATION")</f>
        <v>GOBP_TELOMERE_MAINTENANCE_VIA_RECOMBINATION</v>
      </c>
      <c r="C4717" s="4">
        <v>15</v>
      </c>
      <c r="D4717" s="3">
        <v>-0.79568607000000002</v>
      </c>
      <c r="E4717" s="1">
        <v>0.74141880000000004</v>
      </c>
      <c r="F4717" s="2">
        <v>0.93918000000000001</v>
      </c>
    </row>
    <row r="4718" spans="1:6" x14ac:dyDescent="0.25">
      <c r="A4718" t="s">
        <v>7</v>
      </c>
      <c r="B4718" s="5" t="str">
        <f>HYPERLINK("http://www.broadinstitute.org/gsea/msigdb/cards/GOCC_REPLISOME.html","GOCC_REPLISOME")</f>
        <v>GOCC_REPLISOME</v>
      </c>
      <c r="C4718" s="4">
        <v>22</v>
      </c>
      <c r="D4718" s="3">
        <v>-0.79693716999999997</v>
      </c>
      <c r="E4718" s="1">
        <v>0.79848870000000005</v>
      </c>
      <c r="F4718" s="2">
        <v>0.93773329999999999</v>
      </c>
    </row>
    <row r="4719" spans="1:6" x14ac:dyDescent="0.25">
      <c r="A4719" t="s">
        <v>8</v>
      </c>
      <c r="B4719" s="5" t="str">
        <f>HYPERLINK("http://www.broadinstitute.org/gsea/msigdb/cards/GOMF_ALCOHOL_BINDING.html","GOMF_ALCOHOL_BINDING")</f>
        <v>GOMF_ALCOHOL_BINDING</v>
      </c>
      <c r="C4719" s="4">
        <v>86</v>
      </c>
      <c r="D4719" s="3">
        <v>-0.79711810000000005</v>
      </c>
      <c r="E4719" s="1">
        <v>0.91666669999999995</v>
      </c>
      <c r="F4719" s="2">
        <v>0.93792750000000003</v>
      </c>
    </row>
    <row r="4720" spans="1:6" x14ac:dyDescent="0.25">
      <c r="A4720" t="s">
        <v>6</v>
      </c>
      <c r="B4720" s="5" t="str">
        <f>HYPERLINK("http://www.broadinstitute.org/gsea/msigdb/cards/GOBP_NEGATIVE_REGULATION_OF_INTRINSIC_APOPTOTIC_SIGNALING_PATHWAY_BY_P53_CLASS_MEDIATOR.html","GOBP_NEGATIVE_REGULATION_OF_INTRINSIC_APOPTOTIC_SIGNALING_PATHWAY_BY_P53_CLASS_MEDIATOR")</f>
        <v>GOBP_NEGATIVE_REGULATION_OF_INTRINSIC_APOPTOTIC_SIGNALING_PATHWAY_BY_P53_CLASS_MEDIATOR</v>
      </c>
      <c r="C4720" s="4">
        <v>22</v>
      </c>
      <c r="D4720" s="3">
        <v>-0.79828465000000004</v>
      </c>
      <c r="E4720" s="1">
        <v>0.78310500000000005</v>
      </c>
      <c r="F4720" s="2">
        <v>0.93659914</v>
      </c>
    </row>
    <row r="4721" spans="1:6" x14ac:dyDescent="0.25">
      <c r="A4721" t="s">
        <v>6</v>
      </c>
      <c r="B4721" s="5" t="str">
        <f>HYPERLINK("http://www.broadinstitute.org/gsea/msigdb/cards/GOBP_VASCULAR_ASSOCIATED_SMOOTH_MUSCLE_CELL_APOPTOTIC_PROCESS.html","GOBP_VASCULAR_ASSOCIATED_SMOOTH_MUSCLE_CELL_APOPTOTIC_PROCESS")</f>
        <v>GOBP_VASCULAR_ASSOCIATED_SMOOTH_MUSCLE_CELL_APOPTOTIC_PROCESS</v>
      </c>
      <c r="C4721" s="4">
        <v>15</v>
      </c>
      <c r="D4721" s="3">
        <v>-0.79867244000000004</v>
      </c>
      <c r="E4721" s="1">
        <v>0.70574163999999995</v>
      </c>
      <c r="F4721" s="2">
        <v>0.93646954999999998</v>
      </c>
    </row>
    <row r="4722" spans="1:6" x14ac:dyDescent="0.25">
      <c r="A4722" t="s">
        <v>8</v>
      </c>
      <c r="B4722" s="5" t="str">
        <f>HYPERLINK("http://www.broadinstitute.org/gsea/msigdb/cards/GOMF_STRUCTURAL_CONSTITUENT_OF_CYTOSKELETON.html","GOMF_STRUCTURAL_CONSTITUENT_OF_CYTOSKELETON")</f>
        <v>GOMF_STRUCTURAL_CONSTITUENT_OF_CYTOSKELETON</v>
      </c>
      <c r="C4722" s="4">
        <v>73</v>
      </c>
      <c r="D4722" s="3">
        <v>-0.79877865000000003</v>
      </c>
      <c r="E4722" s="1">
        <v>0.88563829999999999</v>
      </c>
      <c r="F4722" s="2">
        <v>0.93679219999999996</v>
      </c>
    </row>
    <row r="4723" spans="1:6" x14ac:dyDescent="0.25">
      <c r="A4723" t="s">
        <v>10</v>
      </c>
      <c r="B4723" s="5" t="str">
        <f>HYPERLINK("http://www.broadinstitute.org/gsea/msigdb/cards/REACTOME_VISUAL_PHOTOTRANSDUCTION.html","REACTOME_VISUAL_PHOTOTRANSDUCTION")</f>
        <v>REACTOME_VISUAL_PHOTOTRANSDUCTION</v>
      </c>
      <c r="C4723" s="4">
        <v>85</v>
      </c>
      <c r="D4723" s="3">
        <v>-0.79882889999999995</v>
      </c>
      <c r="E4723" s="1">
        <v>0.89795919999999996</v>
      </c>
      <c r="F4723" s="2">
        <v>0.93720910000000002</v>
      </c>
    </row>
    <row r="4724" spans="1:6" x14ac:dyDescent="0.25">
      <c r="A4724" t="s">
        <v>6</v>
      </c>
      <c r="B4724" s="5" t="str">
        <f>HYPERLINK("http://www.broadinstitute.org/gsea/msigdb/cards/GOBP_REVERSE_CHOLESTEROL_TRANSPORT.html","GOBP_REVERSE_CHOLESTEROL_TRANSPORT")</f>
        <v>GOBP_REVERSE_CHOLESTEROL_TRANSPORT</v>
      </c>
      <c r="C4724" s="4">
        <v>19</v>
      </c>
      <c r="D4724" s="3">
        <v>-0.79950969999999999</v>
      </c>
      <c r="E4724" s="1">
        <v>0.78571427000000005</v>
      </c>
      <c r="F4724" s="2">
        <v>0.93661802999999999</v>
      </c>
    </row>
    <row r="4725" spans="1:6" x14ac:dyDescent="0.25">
      <c r="A4725" t="s">
        <v>10</v>
      </c>
      <c r="B4725" s="5" t="str">
        <f>HYPERLINK("http://www.broadinstitute.org/gsea/msigdb/cards/REACTOME_DUAL_INCISION_IN_GG_NER.html","REACTOME_DUAL_INCISION_IN_GG_NER")</f>
        <v>REACTOME_DUAL_INCISION_IN_GG_NER</v>
      </c>
      <c r="C4725" s="4">
        <v>40</v>
      </c>
      <c r="D4725" s="3">
        <v>-0.80044335</v>
      </c>
      <c r="E4725" s="1">
        <v>0.85175880000000004</v>
      </c>
      <c r="F4725" s="2">
        <v>0.93560880000000002</v>
      </c>
    </row>
    <row r="4726" spans="1:6" x14ac:dyDescent="0.25">
      <c r="A4726" t="s">
        <v>6</v>
      </c>
      <c r="B4726" s="5" t="str">
        <f>HYPERLINK("http://www.broadinstitute.org/gsea/msigdb/cards/GOBP_CIRCADIAN_SLEEP_WAKE_CYCLE_PROCESS.html","GOBP_CIRCADIAN_SLEEP_WAKE_CYCLE_PROCESS")</f>
        <v>GOBP_CIRCADIAN_SLEEP_WAKE_CYCLE_PROCESS</v>
      </c>
      <c r="C4726" s="4">
        <v>34</v>
      </c>
      <c r="D4726" s="3">
        <v>-0.80081122999999999</v>
      </c>
      <c r="E4726" s="1">
        <v>0.82124350000000002</v>
      </c>
      <c r="F4726" s="2">
        <v>0.93551980000000001</v>
      </c>
    </row>
    <row r="4727" spans="1:6" x14ac:dyDescent="0.25">
      <c r="A4727" t="s">
        <v>10</v>
      </c>
      <c r="B4727" s="5" t="str">
        <f>HYPERLINK("http://www.broadinstitute.org/gsea/msigdb/cards/REACTOME_PLATELET_CALCIUM_HOMEOSTASIS.html","REACTOME_PLATELET_CALCIUM_HOMEOSTASIS")</f>
        <v>REACTOME_PLATELET_CALCIUM_HOMEOSTASIS</v>
      </c>
      <c r="C4727" s="4">
        <v>27</v>
      </c>
      <c r="D4727" s="3">
        <v>-0.80169815</v>
      </c>
      <c r="E4727" s="1">
        <v>0.78125</v>
      </c>
      <c r="F4727" s="2">
        <v>0.93456309999999998</v>
      </c>
    </row>
    <row r="4728" spans="1:6" x14ac:dyDescent="0.25">
      <c r="A4728" t="s">
        <v>10</v>
      </c>
      <c r="B4728" s="5" t="str">
        <f>HYPERLINK("http://www.broadinstitute.org/gsea/msigdb/cards/REACTOME_PURINE_CATABOLISM.html","REACTOME_PURINE_CATABOLISM")</f>
        <v>REACTOME_PURINE_CATABOLISM</v>
      </c>
      <c r="C4728" s="4">
        <v>18</v>
      </c>
      <c r="D4728" s="3">
        <v>-0.80248750000000002</v>
      </c>
      <c r="E4728" s="1">
        <v>0.74689823</v>
      </c>
      <c r="F4728" s="2">
        <v>0.93377719999999997</v>
      </c>
    </row>
    <row r="4729" spans="1:6" x14ac:dyDescent="0.25">
      <c r="A4729" t="s">
        <v>10</v>
      </c>
      <c r="B4729" s="5" t="str">
        <f>HYPERLINK("http://www.broadinstitute.org/gsea/msigdb/cards/REACTOME_SYNTHESIS_OF_VERY_LONG_CHAIN_FATTY_ACYL_COAS.html","REACTOME_SYNTHESIS_OF_VERY_LONG_CHAIN_FATTY_ACYL_COAS")</f>
        <v>REACTOME_SYNTHESIS_OF_VERY_LONG_CHAIN_FATTY_ACYL_COAS</v>
      </c>
      <c r="C4729" s="4">
        <v>21</v>
      </c>
      <c r="D4729" s="3">
        <v>-0.80249939999999997</v>
      </c>
      <c r="E4729" s="1">
        <v>0.77156174</v>
      </c>
      <c r="F4729" s="2">
        <v>0.93424640000000003</v>
      </c>
    </row>
    <row r="4730" spans="1:6" x14ac:dyDescent="0.25">
      <c r="A4730" t="s">
        <v>8</v>
      </c>
      <c r="B4730" s="5" t="str">
        <f>HYPERLINK("http://www.broadinstitute.org/gsea/msigdb/cards/GOMF_ARACHIDONIC_ACID_MONOOXYGENASE_ACTIVITY.html","GOMF_ARACHIDONIC_ACID_MONOOXYGENASE_ACTIVITY")</f>
        <v>GOMF_ARACHIDONIC_ACID_MONOOXYGENASE_ACTIVITY</v>
      </c>
      <c r="C4730" s="4">
        <v>36</v>
      </c>
      <c r="D4730" s="3">
        <v>-0.80259292999999998</v>
      </c>
      <c r="E4730" s="1">
        <v>0.82994926000000002</v>
      </c>
      <c r="F4730" s="2">
        <v>0.93458474000000002</v>
      </c>
    </row>
    <row r="4731" spans="1:6" x14ac:dyDescent="0.25">
      <c r="A4731" t="s">
        <v>6</v>
      </c>
      <c r="B4731" s="5" t="str">
        <f>HYPERLINK("http://www.broadinstitute.org/gsea/msigdb/cards/GOBP_ADIPOSE_TISSUE_DEVELOPMENT.html","GOBP_ADIPOSE_TISSUE_DEVELOPMENT")</f>
        <v>GOBP_ADIPOSE_TISSUE_DEVELOPMENT</v>
      </c>
      <c r="C4731" s="4">
        <v>64</v>
      </c>
      <c r="D4731" s="3">
        <v>-0.80306500000000003</v>
      </c>
      <c r="E4731" s="1">
        <v>0.87465939999999998</v>
      </c>
      <c r="F4731" s="2">
        <v>0.93433900000000003</v>
      </c>
    </row>
    <row r="4732" spans="1:6" x14ac:dyDescent="0.25">
      <c r="A4732" t="s">
        <v>6</v>
      </c>
      <c r="B4732" s="5" t="str">
        <f>HYPERLINK("http://www.broadinstitute.org/gsea/msigdb/cards/GOBP_APOPTOTIC_DNA_FRAGMENTATION.html","GOBP_APOPTOTIC_DNA_FRAGMENTATION")</f>
        <v>GOBP_APOPTOTIC_DNA_FRAGMENTATION</v>
      </c>
      <c r="C4732" s="4">
        <v>20</v>
      </c>
      <c r="D4732" s="3">
        <v>-0.80309240000000004</v>
      </c>
      <c r="E4732" s="1">
        <v>0.75362320000000005</v>
      </c>
      <c r="F4732" s="2">
        <v>0.93478464999999999</v>
      </c>
    </row>
    <row r="4733" spans="1:6" x14ac:dyDescent="0.25">
      <c r="A4733" t="s">
        <v>6</v>
      </c>
      <c r="B4733" s="5" t="str">
        <f>HYPERLINK("http://www.broadinstitute.org/gsea/msigdb/cards/GOBP_SYNAPTIC_VESICLE_PRIMING.html","GOBP_SYNAPTIC_VESICLE_PRIMING")</f>
        <v>GOBP_SYNAPTIC_VESICLE_PRIMING</v>
      </c>
      <c r="C4733" s="4">
        <v>27</v>
      </c>
      <c r="D4733" s="3">
        <v>-0.80320219999999998</v>
      </c>
      <c r="E4733" s="1">
        <v>0.78229665999999998</v>
      </c>
      <c r="F4733" s="2">
        <v>0.93510585999999996</v>
      </c>
    </row>
    <row r="4734" spans="1:6" x14ac:dyDescent="0.25">
      <c r="A4734" t="s">
        <v>6</v>
      </c>
      <c r="B4734" s="5" t="str">
        <f>HYPERLINK("http://www.broadinstitute.org/gsea/msigdb/cards/GOBP_REGULATION_OF_INCLUSION_BODY_ASSEMBLY.html","GOBP_REGULATION_OF_INCLUSION_BODY_ASSEMBLY")</f>
        <v>GOBP_REGULATION_OF_INCLUSION_BODY_ASSEMBLY</v>
      </c>
      <c r="C4734" s="4">
        <v>16</v>
      </c>
      <c r="D4734" s="3">
        <v>-0.80332524000000005</v>
      </c>
      <c r="E4734" s="1">
        <v>0.7347418</v>
      </c>
      <c r="F4734" s="2">
        <v>0.93540029999999996</v>
      </c>
    </row>
    <row r="4735" spans="1:6" x14ac:dyDescent="0.25">
      <c r="A4735" t="s">
        <v>10</v>
      </c>
      <c r="B4735" s="5" t="str">
        <f>HYPERLINK("http://www.broadinstitute.org/gsea/msigdb/cards/REACTOME_REGULATION_OF_TP53_ACTIVITY_THROUGH_METHYLATION.html","REACTOME_REGULATION_OF_TP53_ACTIVITY_THROUGH_METHYLATION")</f>
        <v>REACTOME_REGULATION_OF_TP53_ACTIVITY_THROUGH_METHYLATION</v>
      </c>
      <c r="C4735" s="4">
        <v>18</v>
      </c>
      <c r="D4735" s="3">
        <v>-0.80335265</v>
      </c>
      <c r="E4735" s="1">
        <v>0.74056599999999995</v>
      </c>
      <c r="F4735" s="2">
        <v>0.93584924999999997</v>
      </c>
    </row>
    <row r="4736" spans="1:6" x14ac:dyDescent="0.25">
      <c r="A4736" t="s">
        <v>7</v>
      </c>
      <c r="B4736" s="5" t="str">
        <f>HYPERLINK("http://www.broadinstitute.org/gsea/msigdb/cards/GOCC_MEDIATOR_COMPLEX.html","GOCC_MEDIATOR_COMPLEX")</f>
        <v>GOCC_MEDIATOR_COMPLEX</v>
      </c>
      <c r="C4736" s="4">
        <v>36</v>
      </c>
      <c r="D4736" s="3">
        <v>-0.80359243999999996</v>
      </c>
      <c r="E4736" s="1">
        <v>0.79809976000000005</v>
      </c>
      <c r="F4736" s="2">
        <v>0.93595165000000002</v>
      </c>
    </row>
    <row r="4737" spans="1:6" x14ac:dyDescent="0.25">
      <c r="A4737" t="s">
        <v>10</v>
      </c>
      <c r="B4737" s="5" t="str">
        <f>HYPERLINK("http://www.broadinstitute.org/gsea/msigdb/cards/REACTOME_SUMOYLATION_OF_TRANSCRIPTION_FACTORS.html","REACTOME_SUMOYLATION_OF_TRANSCRIPTION_FACTORS")</f>
        <v>REACTOME_SUMOYLATION_OF_TRANSCRIPTION_FACTORS</v>
      </c>
      <c r="C4737" s="4">
        <v>15</v>
      </c>
      <c r="D4737" s="3">
        <v>-0.80418809999999996</v>
      </c>
      <c r="E4737" s="1">
        <v>0.75166297000000004</v>
      </c>
      <c r="F4737" s="2">
        <v>0.93546839999999998</v>
      </c>
    </row>
    <row r="4738" spans="1:6" x14ac:dyDescent="0.25">
      <c r="A4738" t="s">
        <v>8</v>
      </c>
      <c r="B4738" s="5" t="str">
        <f>HYPERLINK("http://www.broadinstitute.org/gsea/msigdb/cards/GOMF_PALMITOYL_COA_HYDROLASE_ACTIVITY.html","GOMF_PALMITOYL_COA_HYDROLASE_ACTIVITY")</f>
        <v>GOMF_PALMITOYL_COA_HYDROLASE_ACTIVITY</v>
      </c>
      <c r="C4738" s="4">
        <v>18</v>
      </c>
      <c r="D4738" s="3">
        <v>-0.80431260000000004</v>
      </c>
      <c r="E4738" s="1">
        <v>0.75689220000000001</v>
      </c>
      <c r="F4738" s="2">
        <v>0.93576115000000004</v>
      </c>
    </row>
    <row r="4739" spans="1:6" x14ac:dyDescent="0.25">
      <c r="A4739" t="s">
        <v>6</v>
      </c>
      <c r="B4739" s="5" t="str">
        <f>HYPERLINK("http://www.broadinstitute.org/gsea/msigdb/cards/GOBP_REGULATION_OF_TELOMERE_MAINTENANCE_VIA_TELOMERE_LENGTHENING.html","GOBP_REGULATION_OF_TELOMERE_MAINTENANCE_VIA_TELOMERE_LENGTHENING")</f>
        <v>GOBP_REGULATION_OF_TELOMERE_MAINTENANCE_VIA_TELOMERE_LENGTHENING</v>
      </c>
      <c r="C4739" s="4">
        <v>58</v>
      </c>
      <c r="D4739" s="3">
        <v>-0.80522053999999998</v>
      </c>
      <c r="E4739" s="1">
        <v>0.84883719999999996</v>
      </c>
      <c r="F4739" s="2">
        <v>0.93478430000000001</v>
      </c>
    </row>
    <row r="4740" spans="1:6" x14ac:dyDescent="0.25">
      <c r="A4740" t="s">
        <v>6</v>
      </c>
      <c r="B4740" s="5" t="str">
        <f>HYPERLINK("http://www.broadinstitute.org/gsea/msigdb/cards/GOBP_REGULATION_OF_INTRACELLULAR_ESTROGEN_RECEPTOR_SIGNALING_PATHWAY.html","GOBP_REGULATION_OF_INTRACELLULAR_ESTROGEN_RECEPTOR_SIGNALING_PATHWAY")</f>
        <v>GOBP_REGULATION_OF_INTRACELLULAR_ESTROGEN_RECEPTOR_SIGNALING_PATHWAY</v>
      </c>
      <c r="C4740" s="4">
        <v>37</v>
      </c>
      <c r="D4740" s="3">
        <v>-0.80554320000000001</v>
      </c>
      <c r="E4740" s="1">
        <v>0.80916030000000005</v>
      </c>
      <c r="F4740" s="2">
        <v>0.93476932999999995</v>
      </c>
    </row>
    <row r="4741" spans="1:6" x14ac:dyDescent="0.25">
      <c r="A4741" t="s">
        <v>8</v>
      </c>
      <c r="B4741" s="5" t="str">
        <f>HYPERLINK("http://www.broadinstitute.org/gsea/msigdb/cards/GOMF_SODIUM_CHANNEL_ACTIVITY.html","GOMF_SODIUM_CHANNEL_ACTIVITY")</f>
        <v>GOMF_SODIUM_CHANNEL_ACTIVITY</v>
      </c>
      <c r="C4741" s="4">
        <v>43</v>
      </c>
      <c r="D4741" s="3">
        <v>-0.80630904000000003</v>
      </c>
      <c r="E4741" s="1">
        <v>0.83374082999999999</v>
      </c>
      <c r="F4741" s="2">
        <v>0.93397766000000004</v>
      </c>
    </row>
    <row r="4742" spans="1:6" x14ac:dyDescent="0.25">
      <c r="A4742" t="s">
        <v>6</v>
      </c>
      <c r="B4742" s="5" t="str">
        <f>HYPERLINK("http://www.broadinstitute.org/gsea/msigdb/cards/GOBP_ERYTHROCYTE_MATURATION.html","GOBP_ERYTHROCYTE_MATURATION")</f>
        <v>GOBP_ERYTHROCYTE_MATURATION</v>
      </c>
      <c r="C4742" s="4">
        <v>19</v>
      </c>
      <c r="D4742" s="3">
        <v>-0.80720599999999998</v>
      </c>
      <c r="E4742" s="1">
        <v>0.7401392</v>
      </c>
      <c r="F4742" s="2">
        <v>0.93297099999999999</v>
      </c>
    </row>
    <row r="4743" spans="1:6" x14ac:dyDescent="0.25">
      <c r="A4743" t="s">
        <v>6</v>
      </c>
      <c r="B4743" s="5" t="str">
        <f>HYPERLINK("http://www.broadinstitute.org/gsea/msigdb/cards/GOBP_TRNA_CATABOLIC_PROCESS.html","GOBP_TRNA_CATABOLIC_PROCESS")</f>
        <v>GOBP_TRNA_CATABOLIC_PROCESS</v>
      </c>
      <c r="C4743" s="4">
        <v>16</v>
      </c>
      <c r="D4743" s="3">
        <v>-0.80817245999999998</v>
      </c>
      <c r="E4743" s="1">
        <v>0.71529410000000004</v>
      </c>
      <c r="F4743" s="2">
        <v>0.93182843999999998</v>
      </c>
    </row>
    <row r="4744" spans="1:6" x14ac:dyDescent="0.25">
      <c r="A4744" t="s">
        <v>6</v>
      </c>
      <c r="B4744" s="5" t="str">
        <f>HYPERLINK("http://www.broadinstitute.org/gsea/msigdb/cards/GOBP_RNA_METHYLATION.html","GOBP_RNA_METHYLATION")</f>
        <v>GOBP_RNA_METHYLATION</v>
      </c>
      <c r="C4744" s="4">
        <v>75</v>
      </c>
      <c r="D4744" s="3">
        <v>-0.80857440000000003</v>
      </c>
      <c r="E4744" s="1">
        <v>0.87683283999999995</v>
      </c>
      <c r="F4744" s="2">
        <v>0.93163203999999999</v>
      </c>
    </row>
    <row r="4745" spans="1:6" x14ac:dyDescent="0.25">
      <c r="A4745" t="s">
        <v>6</v>
      </c>
      <c r="B4745" s="5" t="str">
        <f>HYPERLINK("http://www.broadinstitute.org/gsea/msigdb/cards/GOBP_REGULATION_OF_HAIR_FOLLICLE_DEVELOPMENT.html","GOBP_REGULATION_OF_HAIR_FOLLICLE_DEVELOPMENT")</f>
        <v>GOBP_REGULATION_OF_HAIR_FOLLICLE_DEVELOPMENT</v>
      </c>
      <c r="C4745" s="4">
        <v>21</v>
      </c>
      <c r="D4745" s="3">
        <v>-0.80877650000000001</v>
      </c>
      <c r="E4745" s="1">
        <v>0.78371500000000005</v>
      </c>
      <c r="F4745" s="2">
        <v>0.93179476000000006</v>
      </c>
    </row>
    <row r="4746" spans="1:6" x14ac:dyDescent="0.25">
      <c r="A4746" t="s">
        <v>6</v>
      </c>
      <c r="B4746" s="5" t="str">
        <f>HYPERLINK("http://www.broadinstitute.org/gsea/msigdb/cards/GOBP_REGULATION_OF_DENDRITE_DEVELOPMENT.html","GOBP_REGULATION_OF_DENDRITE_DEVELOPMENT")</f>
        <v>GOBP_REGULATION_OF_DENDRITE_DEVELOPMENT</v>
      </c>
      <c r="C4746" s="4">
        <v>140</v>
      </c>
      <c r="D4746" s="3">
        <v>-0.81087445999999996</v>
      </c>
      <c r="E4746" s="1">
        <v>0.93645482999999996</v>
      </c>
      <c r="F4746" s="2">
        <v>0.92868536999999995</v>
      </c>
    </row>
    <row r="4747" spans="1:6" x14ac:dyDescent="0.25">
      <c r="A4747" t="s">
        <v>6</v>
      </c>
      <c r="B4747" s="5" t="str">
        <f>HYPERLINK("http://www.broadinstitute.org/gsea/msigdb/cards/GOBP_BLASTOCYST_GROWTH.html","GOBP_BLASTOCYST_GROWTH")</f>
        <v>GOBP_BLASTOCYST_GROWTH</v>
      </c>
      <c r="C4747" s="4">
        <v>30</v>
      </c>
      <c r="D4747" s="3">
        <v>-0.81135356000000003</v>
      </c>
      <c r="E4747" s="1">
        <v>0.76046515000000003</v>
      </c>
      <c r="F4747" s="2">
        <v>0.92834720000000004</v>
      </c>
    </row>
    <row r="4748" spans="1:6" x14ac:dyDescent="0.25">
      <c r="A4748" t="s">
        <v>7</v>
      </c>
      <c r="B4748" s="5" t="str">
        <f>HYPERLINK("http://www.broadinstitute.org/gsea/msigdb/cards/GOCC_NEUROTRANSMITTER_RECEPTOR_COMPLEX.html","GOCC_NEUROTRANSMITTER_RECEPTOR_COMPLEX")</f>
        <v>GOCC_NEUROTRANSMITTER_RECEPTOR_COMPLEX</v>
      </c>
      <c r="C4748" s="4">
        <v>46</v>
      </c>
      <c r="D4748" s="3">
        <v>-0.81167215000000004</v>
      </c>
      <c r="E4748" s="1">
        <v>0.83333330000000005</v>
      </c>
      <c r="F4748" s="2">
        <v>0.92831313999999998</v>
      </c>
    </row>
    <row r="4749" spans="1:6" x14ac:dyDescent="0.25">
      <c r="A4749" t="s">
        <v>6</v>
      </c>
      <c r="B4749" s="5" t="str">
        <f>HYPERLINK("http://www.broadinstitute.org/gsea/msigdb/cards/GOBP_NEGATIVE_REGULATION_OF_NOTCH_SIGNALING_PATHWAY.html","GOBP_NEGATIVE_REGULATION_OF_NOTCH_SIGNALING_PATHWAY")</f>
        <v>GOBP_NEGATIVE_REGULATION_OF_NOTCH_SIGNALING_PATHWAY</v>
      </c>
      <c r="C4749" s="4">
        <v>36</v>
      </c>
      <c r="D4749" s="3">
        <v>-0.81230736000000003</v>
      </c>
      <c r="E4749" s="1">
        <v>0.79480516999999995</v>
      </c>
      <c r="F4749" s="2">
        <v>0.92770399999999997</v>
      </c>
    </row>
    <row r="4750" spans="1:6" x14ac:dyDescent="0.25">
      <c r="A4750" t="s">
        <v>10</v>
      </c>
      <c r="B4750" s="5" t="str">
        <f>HYPERLINK("http://www.broadinstitute.org/gsea/msigdb/cards/REACTOME_TRANSCRIPTIONAL_REGULATION_BY_SMALL_RNAS.html","REACTOME_TRANSCRIPTIONAL_REGULATION_BY_SMALL_RNAS")</f>
        <v>REACTOME_TRANSCRIPTIONAL_REGULATION_BY_SMALL_RNAS</v>
      </c>
      <c r="C4750" s="4">
        <v>33</v>
      </c>
      <c r="D4750" s="3">
        <v>-0.81240190000000001</v>
      </c>
      <c r="E4750" s="1">
        <v>0.77111715000000003</v>
      </c>
      <c r="F4750" s="2">
        <v>0.9280389</v>
      </c>
    </row>
    <row r="4751" spans="1:6" x14ac:dyDescent="0.25">
      <c r="A4751" t="s">
        <v>6</v>
      </c>
      <c r="B4751" s="5" t="str">
        <f>HYPERLINK("http://www.broadinstitute.org/gsea/msigdb/cards/GOBP_CHROMOSOME_SEPARATION.html","GOBP_CHROMOSOME_SEPARATION")</f>
        <v>GOBP_CHROMOSOME_SEPARATION</v>
      </c>
      <c r="C4751" s="4">
        <v>82</v>
      </c>
      <c r="D4751" s="3">
        <v>-0.81287193000000002</v>
      </c>
      <c r="E4751" s="1">
        <v>0.88493149999999998</v>
      </c>
      <c r="F4751" s="2">
        <v>0.92773410000000001</v>
      </c>
    </row>
    <row r="4752" spans="1:6" x14ac:dyDescent="0.25">
      <c r="A4752" t="s">
        <v>6</v>
      </c>
      <c r="B4752" s="5" t="str">
        <f>HYPERLINK("http://www.broadinstitute.org/gsea/msigdb/cards/GOBP_HYPOTHALAMUS_DEVELOPMENT.html","GOBP_HYPOTHALAMUS_DEVELOPMENT")</f>
        <v>GOBP_HYPOTHALAMUS_DEVELOPMENT</v>
      </c>
      <c r="C4752" s="4">
        <v>24</v>
      </c>
      <c r="D4752" s="3">
        <v>-0.81306975999999997</v>
      </c>
      <c r="E4752" s="1">
        <v>0.7493976</v>
      </c>
      <c r="F4752" s="2">
        <v>0.92787770000000003</v>
      </c>
    </row>
    <row r="4753" spans="1:6" x14ac:dyDescent="0.25">
      <c r="A4753" t="s">
        <v>6</v>
      </c>
      <c r="B4753" s="5" t="str">
        <f>HYPERLINK("http://www.broadinstitute.org/gsea/msigdb/cards/GOBP_REGULATION_OF_SIGNAL_TRANSDUCTION_BY_P53_CLASS_MEDIATOR.html","GOBP_REGULATION_OF_SIGNAL_TRANSDUCTION_BY_P53_CLASS_MEDIATOR")</f>
        <v>GOBP_REGULATION_OF_SIGNAL_TRANSDUCTION_BY_P53_CLASS_MEDIATOR</v>
      </c>
      <c r="C4753" s="4">
        <v>83</v>
      </c>
      <c r="D4753" s="3">
        <v>-0.81349486000000004</v>
      </c>
      <c r="E4753" s="1">
        <v>0.87315637000000001</v>
      </c>
      <c r="F4753" s="2">
        <v>0.9276335</v>
      </c>
    </row>
    <row r="4754" spans="1:6" x14ac:dyDescent="0.25">
      <c r="A4754" t="s">
        <v>7</v>
      </c>
      <c r="B4754" s="5" t="str">
        <f>HYPERLINK("http://www.broadinstitute.org/gsea/msigdb/cards/GOCC_MEIOTIC_SPINDLE.html","GOCC_MEIOTIC_SPINDLE")</f>
        <v>GOCC_MEIOTIC_SPINDLE</v>
      </c>
      <c r="C4754" s="4">
        <v>17</v>
      </c>
      <c r="D4754" s="3">
        <v>-0.81399184000000002</v>
      </c>
      <c r="E4754" s="1">
        <v>0.73522460000000001</v>
      </c>
      <c r="F4754" s="2">
        <v>0.92729139999999999</v>
      </c>
    </row>
    <row r="4755" spans="1:6" x14ac:dyDescent="0.25">
      <c r="A4755" t="s">
        <v>6</v>
      </c>
      <c r="B4755" s="5" t="str">
        <f>HYPERLINK("http://www.broadinstitute.org/gsea/msigdb/cards/GOBP_POSTSYNAPTIC_MEMBRANE_ORGANIZATION.html","GOBP_POSTSYNAPTIC_MEMBRANE_ORGANIZATION")</f>
        <v>GOBP_POSTSYNAPTIC_MEMBRANE_ORGANIZATION</v>
      </c>
      <c r="C4755" s="4">
        <v>48</v>
      </c>
      <c r="D4755" s="3">
        <v>-0.81406115999999995</v>
      </c>
      <c r="E4755" s="1">
        <v>0.81491005000000005</v>
      </c>
      <c r="F4755" s="2">
        <v>0.92767080000000002</v>
      </c>
    </row>
    <row r="4756" spans="1:6" x14ac:dyDescent="0.25">
      <c r="A4756" t="s">
        <v>7</v>
      </c>
      <c r="B4756" s="5" t="str">
        <f>HYPERLINK("http://www.broadinstitute.org/gsea/msigdb/cards/GOCC_COSTAMERE.html","GOCC_COSTAMERE")</f>
        <v>GOCC_COSTAMERE</v>
      </c>
      <c r="C4756" s="4">
        <v>20</v>
      </c>
      <c r="D4756" s="3">
        <v>-0.81478550000000005</v>
      </c>
      <c r="E4756" s="1">
        <v>0.75</v>
      </c>
      <c r="F4756" s="2">
        <v>0.92693749999999997</v>
      </c>
    </row>
    <row r="4757" spans="1:6" x14ac:dyDescent="0.25">
      <c r="A4757" t="s">
        <v>11</v>
      </c>
      <c r="B4757" s="5" t="str">
        <f>HYPERLINK("http://www.broadinstitute.org/gsea/msigdb/cards/WP_DOPAMINERGIC_NEUROGENESIS.html","WP_DOPAMINERGIC_NEUROGENESIS")</f>
        <v>WP_DOPAMINERGIC_NEUROGENESIS</v>
      </c>
      <c r="C4757" s="4">
        <v>30</v>
      </c>
      <c r="D4757" s="3">
        <v>-0.81487949999999998</v>
      </c>
      <c r="E4757" s="1">
        <v>0.77411764999999999</v>
      </c>
      <c r="F4757" s="2">
        <v>0.92728244999999998</v>
      </c>
    </row>
    <row r="4758" spans="1:6" x14ac:dyDescent="0.25">
      <c r="A4758" t="s">
        <v>8</v>
      </c>
      <c r="B4758" s="5" t="str">
        <f>HYPERLINK("http://www.broadinstitute.org/gsea/msigdb/cards/GOMF_DYNEIN_INTERMEDIATE_CHAIN_BINDING.html","GOMF_DYNEIN_INTERMEDIATE_CHAIN_BINDING")</f>
        <v>GOMF_DYNEIN_INTERMEDIATE_CHAIN_BINDING</v>
      </c>
      <c r="C4758" s="4">
        <v>29</v>
      </c>
      <c r="D4758" s="3">
        <v>-0.81493519999999997</v>
      </c>
      <c r="E4758" s="1">
        <v>0.77777779999999996</v>
      </c>
      <c r="F4758" s="2">
        <v>0.92766285000000004</v>
      </c>
    </row>
    <row r="4759" spans="1:6" x14ac:dyDescent="0.25">
      <c r="A4759" t="s">
        <v>6</v>
      </c>
      <c r="B4759" s="5" t="str">
        <f>HYPERLINK("http://www.broadinstitute.org/gsea/msigdb/cards/GOBP_TYPE_B_PANCREATIC_CELL_PROLIFERATION.html","GOBP_TYPE_B_PANCREATIC_CELL_PROLIFERATION")</f>
        <v>GOBP_TYPE_B_PANCREATIC_CELL_PROLIFERATION</v>
      </c>
      <c r="C4759" s="4">
        <v>40</v>
      </c>
      <c r="D4759" s="3">
        <v>-0.81502759999999996</v>
      </c>
      <c r="E4759" s="1">
        <v>0.81578945999999997</v>
      </c>
      <c r="F4759" s="2">
        <v>0.92798983999999995</v>
      </c>
    </row>
    <row r="4760" spans="1:6" x14ac:dyDescent="0.25">
      <c r="A4760" t="s">
        <v>6</v>
      </c>
      <c r="B4760" s="5" t="str">
        <f>HYPERLINK("http://www.broadinstitute.org/gsea/msigdb/cards/GOBP_REGULATION_OF_GLYCOGEN_METABOLIC_PROCESS.html","GOBP_REGULATION_OF_GLYCOGEN_METABOLIC_PROCESS")</f>
        <v>GOBP_REGULATION_OF_GLYCOGEN_METABOLIC_PROCESS</v>
      </c>
      <c r="C4760" s="4">
        <v>37</v>
      </c>
      <c r="D4760" s="3">
        <v>-0.81526829999999995</v>
      </c>
      <c r="E4760" s="1">
        <v>0.81203009999999998</v>
      </c>
      <c r="F4760" s="2">
        <v>0.92806584000000003</v>
      </c>
    </row>
    <row r="4761" spans="1:6" x14ac:dyDescent="0.25">
      <c r="A4761" t="s">
        <v>6</v>
      </c>
      <c r="B4761" s="5" t="str">
        <f>HYPERLINK("http://www.broadinstitute.org/gsea/msigdb/cards/GOBP_NEGATIVE_REGULATION_OF_NUCLEAR_DIVISION.html","GOBP_NEGATIVE_REGULATION_OF_NUCLEAR_DIVISION")</f>
        <v>GOBP_NEGATIVE_REGULATION_OF_NUCLEAR_DIVISION</v>
      </c>
      <c r="C4761" s="4">
        <v>65</v>
      </c>
      <c r="D4761" s="3">
        <v>-0.81530400000000003</v>
      </c>
      <c r="E4761" s="1">
        <v>0.83374082999999999</v>
      </c>
      <c r="F4761" s="2">
        <v>0.92850505999999999</v>
      </c>
    </row>
    <row r="4762" spans="1:6" x14ac:dyDescent="0.25">
      <c r="A4762" t="s">
        <v>6</v>
      </c>
      <c r="B4762" s="5" t="str">
        <f>HYPERLINK("http://www.broadinstitute.org/gsea/msigdb/cards/GOBP_POSITIVE_REGULATION_OF_CELL_SIZE.html","GOBP_POSITIVE_REGULATION_OF_CELL_SIZE")</f>
        <v>GOBP_POSITIVE_REGULATION_OF_CELL_SIZE</v>
      </c>
      <c r="C4762" s="4">
        <v>19</v>
      </c>
      <c r="D4762" s="3">
        <v>-0.81603780000000004</v>
      </c>
      <c r="E4762" s="1">
        <v>0.74250000000000005</v>
      </c>
      <c r="F4762" s="2">
        <v>0.92769120000000005</v>
      </c>
    </row>
    <row r="4763" spans="1:6" x14ac:dyDescent="0.25">
      <c r="A4763" t="s">
        <v>8</v>
      </c>
      <c r="B4763" s="5" t="str">
        <f>HYPERLINK("http://www.broadinstitute.org/gsea/msigdb/cards/GOMF_PEPTIDE_LYSINE_N_ACETYLTRANSFERASE_ACTIVITY.html","GOMF_PEPTIDE_LYSINE_N_ACETYLTRANSFERASE_ACTIVITY")</f>
        <v>GOMF_PEPTIDE_LYSINE_N_ACETYLTRANSFERASE_ACTIVITY</v>
      </c>
      <c r="C4763" s="4">
        <v>46</v>
      </c>
      <c r="D4763" s="3">
        <v>-0.81636929999999996</v>
      </c>
      <c r="E4763" s="1">
        <v>0.82820510000000003</v>
      </c>
      <c r="F4763" s="2">
        <v>0.92760350000000003</v>
      </c>
    </row>
    <row r="4764" spans="1:6" x14ac:dyDescent="0.25">
      <c r="A4764" t="s">
        <v>6</v>
      </c>
      <c r="B4764" s="5" t="str">
        <f>HYPERLINK("http://www.broadinstitute.org/gsea/msigdb/cards/GOBP_LOCOMOTION_INVOLVED_IN_LOCOMOTORY_BEHAVIOR.html","GOBP_LOCOMOTION_INVOLVED_IN_LOCOMOTORY_BEHAVIOR")</f>
        <v>GOBP_LOCOMOTION_INVOLVED_IN_LOCOMOTORY_BEHAVIOR</v>
      </c>
      <c r="C4764" s="4">
        <v>16</v>
      </c>
      <c r="D4764" s="3">
        <v>-0.81696546000000003</v>
      </c>
      <c r="E4764" s="1">
        <v>0.73333334999999999</v>
      </c>
      <c r="F4764" s="2">
        <v>0.92710199999999998</v>
      </c>
    </row>
    <row r="4765" spans="1:6" x14ac:dyDescent="0.25">
      <c r="A4765" t="s">
        <v>6</v>
      </c>
      <c r="B4765" s="5" t="str">
        <f>HYPERLINK("http://www.broadinstitute.org/gsea/msigdb/cards/GOBP_REGULATION_OF_HAIR_CYCLE.html","GOBP_REGULATION_OF_HAIR_CYCLE")</f>
        <v>GOBP_REGULATION_OF_HAIR_CYCLE</v>
      </c>
      <c r="C4765" s="4">
        <v>31</v>
      </c>
      <c r="D4765" s="3">
        <v>-0.8181794</v>
      </c>
      <c r="E4765" s="1">
        <v>0.77197150000000003</v>
      </c>
      <c r="F4765" s="2">
        <v>0.92541366999999997</v>
      </c>
    </row>
    <row r="4766" spans="1:6" x14ac:dyDescent="0.25">
      <c r="A4766" t="s">
        <v>10</v>
      </c>
      <c r="B4766" s="5" t="str">
        <f>HYPERLINK("http://www.broadinstitute.org/gsea/msigdb/cards/REACTOME_FORMATION_OF_INCISION_COMPLEX_IN_GG_NER.html","REACTOME_FORMATION_OF_INCISION_COMPLEX_IN_GG_NER")</f>
        <v>REACTOME_FORMATION_OF_INCISION_COMPLEX_IN_GG_NER</v>
      </c>
      <c r="C4766" s="4">
        <v>42</v>
      </c>
      <c r="D4766" s="3">
        <v>-0.81832563999999997</v>
      </c>
      <c r="E4766" s="1">
        <v>0.80818414999999999</v>
      </c>
      <c r="F4766" s="2">
        <v>0.92564089999999999</v>
      </c>
    </row>
    <row r="4767" spans="1:6" x14ac:dyDescent="0.25">
      <c r="A4767" t="s">
        <v>6</v>
      </c>
      <c r="B4767" s="5" t="str">
        <f>HYPERLINK("http://www.broadinstitute.org/gsea/msigdb/cards/GOBP_CIRCADIAN_SLEEP_WAKE_CYCLE.html","GOBP_CIRCADIAN_SLEEP_WAKE_CYCLE")</f>
        <v>GOBP_CIRCADIAN_SLEEP_WAKE_CYCLE</v>
      </c>
      <c r="C4767" s="4">
        <v>40</v>
      </c>
      <c r="D4767" s="3">
        <v>-0.81841564</v>
      </c>
      <c r="E4767" s="1">
        <v>0.74937343999999995</v>
      </c>
      <c r="F4767" s="2">
        <v>0.92598413999999996</v>
      </c>
    </row>
    <row r="4768" spans="1:6" x14ac:dyDescent="0.25">
      <c r="A4768" t="s">
        <v>6</v>
      </c>
      <c r="B4768" s="5" t="str">
        <f>HYPERLINK("http://www.broadinstitute.org/gsea/msigdb/cards/GOBP_DNA_INTEGRITY_CHECKPOINT_SIGNALING.html","GOBP_DNA_INTEGRITY_CHECKPOINT_SIGNALING")</f>
        <v>GOBP_DNA_INTEGRITY_CHECKPOINT_SIGNALING</v>
      </c>
      <c r="C4768" s="4">
        <v>125</v>
      </c>
      <c r="D4768" s="3">
        <v>-0.82064587</v>
      </c>
      <c r="E4768" s="1">
        <v>0.87647056999999995</v>
      </c>
      <c r="F4768" s="2">
        <v>0.9224755</v>
      </c>
    </row>
    <row r="4769" spans="1:6" x14ac:dyDescent="0.25">
      <c r="A4769" t="s">
        <v>6</v>
      </c>
      <c r="B4769" s="5" t="str">
        <f>HYPERLINK("http://www.broadinstitute.org/gsea/msigdb/cards/GOBP_REGULATION_OF_DENDRITE_EXTENSION.html","GOBP_REGULATION_OF_DENDRITE_EXTENSION")</f>
        <v>GOBP_REGULATION_OF_DENDRITE_EXTENSION</v>
      </c>
      <c r="C4769" s="4">
        <v>33</v>
      </c>
      <c r="D4769" s="3">
        <v>-0.82095015000000005</v>
      </c>
      <c r="E4769" s="1">
        <v>0.78260870000000005</v>
      </c>
      <c r="F4769" s="2">
        <v>0.92240816000000003</v>
      </c>
    </row>
    <row r="4770" spans="1:6" x14ac:dyDescent="0.25">
      <c r="A4770" t="s">
        <v>7</v>
      </c>
      <c r="B4770" s="5" t="str">
        <f>HYPERLINK("http://www.broadinstitute.org/gsea/msigdb/cards/GOCC_NEURON_PROJECTION_CYTOPLASM.html","GOCC_NEURON_PROJECTION_CYTOPLASM")</f>
        <v>GOCC_NEURON_PROJECTION_CYTOPLASM</v>
      </c>
      <c r="C4770" s="4">
        <v>49</v>
      </c>
      <c r="D4770" s="3">
        <v>-0.82176137000000005</v>
      </c>
      <c r="E4770" s="1">
        <v>0.79656863</v>
      </c>
      <c r="F4770" s="2">
        <v>0.92144210000000004</v>
      </c>
    </row>
    <row r="4771" spans="1:6" x14ac:dyDescent="0.25">
      <c r="A4771" t="s">
        <v>6</v>
      </c>
      <c r="B4771" s="5" t="str">
        <f>HYPERLINK("http://www.broadinstitute.org/gsea/msigdb/cards/GOBP_CARDIOLIPIN_METABOLIC_PROCESS.html","GOBP_CARDIOLIPIN_METABOLIC_PROCESS")</f>
        <v>GOBP_CARDIOLIPIN_METABOLIC_PROCESS</v>
      </c>
      <c r="C4771" s="4">
        <v>16</v>
      </c>
      <c r="D4771" s="3">
        <v>-0.82243339999999998</v>
      </c>
      <c r="E4771" s="1">
        <v>0.73433583999999996</v>
      </c>
      <c r="F4771" s="2">
        <v>0.92070799999999997</v>
      </c>
    </row>
    <row r="4772" spans="1:6" x14ac:dyDescent="0.25">
      <c r="A4772" t="s">
        <v>6</v>
      </c>
      <c r="B4772" s="5" t="str">
        <f>HYPERLINK("http://www.broadinstitute.org/gsea/msigdb/cards/GOBP_CELL_PROLIFERATION_IN_HINDBRAIN.html","GOBP_CELL_PROLIFERATION_IN_HINDBRAIN")</f>
        <v>GOBP_CELL_PROLIFERATION_IN_HINDBRAIN</v>
      </c>
      <c r="C4772" s="4">
        <v>20</v>
      </c>
      <c r="D4772" s="3">
        <v>-0.82407560000000002</v>
      </c>
      <c r="E4772" s="1">
        <v>0.73955773999999996</v>
      </c>
      <c r="F4772" s="2">
        <v>0.91816249999999999</v>
      </c>
    </row>
    <row r="4773" spans="1:6" x14ac:dyDescent="0.25">
      <c r="A4773" t="s">
        <v>6</v>
      </c>
      <c r="B4773" s="5" t="str">
        <f>HYPERLINK("http://www.broadinstitute.org/gsea/msigdb/cards/GOBP_PORPHYRIN_CONTAINING_COMPOUND_METABOLIC_PROCESS.html","GOBP_PORPHYRIN_CONTAINING_COMPOUND_METABOLIC_PROCESS")</f>
        <v>GOBP_PORPHYRIN_CONTAINING_COMPOUND_METABOLIC_PROCESS</v>
      </c>
      <c r="C4773" s="4">
        <v>43</v>
      </c>
      <c r="D4773" s="3">
        <v>-0.82416009999999995</v>
      </c>
      <c r="E4773" s="1">
        <v>0.7711443</v>
      </c>
      <c r="F4773" s="2">
        <v>0.91849643000000003</v>
      </c>
    </row>
    <row r="4774" spans="1:6" x14ac:dyDescent="0.25">
      <c r="A4774" t="s">
        <v>10</v>
      </c>
      <c r="B4774" s="5" t="str">
        <f>HYPERLINK("http://www.broadinstitute.org/gsea/msigdb/cards/REACTOME_SYNAPTIC_ADHESION_LIKE_MOLECULES.html","REACTOME_SYNAPTIC_ADHESION_LIKE_MOLECULES")</f>
        <v>REACTOME_SYNAPTIC_ADHESION_LIKE_MOLECULES</v>
      </c>
      <c r="C4774" s="4">
        <v>20</v>
      </c>
      <c r="D4774" s="3">
        <v>-0.82476780000000005</v>
      </c>
      <c r="E4774" s="1">
        <v>0.7357631</v>
      </c>
      <c r="F4774" s="2">
        <v>0.91785943999999997</v>
      </c>
    </row>
    <row r="4775" spans="1:6" x14ac:dyDescent="0.25">
      <c r="A4775" t="s">
        <v>6</v>
      </c>
      <c r="B4775" s="5" t="str">
        <f>HYPERLINK("http://www.broadinstitute.org/gsea/msigdb/cards/GOBP_SLEEP.html","GOBP_SLEEP")</f>
        <v>GOBP_SLEEP</v>
      </c>
      <c r="C4775" s="4">
        <v>36</v>
      </c>
      <c r="D4775" s="3">
        <v>-0.82513130000000001</v>
      </c>
      <c r="E4775" s="1">
        <v>0.76039120000000004</v>
      </c>
      <c r="F4775" s="2">
        <v>0.91767659999999995</v>
      </c>
    </row>
    <row r="4776" spans="1:6" x14ac:dyDescent="0.25">
      <c r="A4776" t="s">
        <v>7</v>
      </c>
      <c r="B4776" s="5" t="str">
        <f>HYPERLINK("http://www.broadinstitute.org/gsea/msigdb/cards/GOCC_PRESYNAPTIC_ACTIVE_ZONE.html","GOCC_PRESYNAPTIC_ACTIVE_ZONE")</f>
        <v>GOCC_PRESYNAPTIC_ACTIVE_ZONE</v>
      </c>
      <c r="C4776" s="4">
        <v>121</v>
      </c>
      <c r="D4776" s="3">
        <v>-0.826488</v>
      </c>
      <c r="E4776" s="1">
        <v>0.88857143999999999</v>
      </c>
      <c r="F4776" s="2">
        <v>0.91565675000000002</v>
      </c>
    </row>
    <row r="4777" spans="1:6" x14ac:dyDescent="0.25">
      <c r="A4777" t="s">
        <v>8</v>
      </c>
      <c r="B4777" s="5" t="str">
        <f>HYPERLINK("http://www.broadinstitute.org/gsea/msigdb/cards/GOMF_ANTIPORTER_ACTIVITY.html","GOMF_ANTIPORTER_ACTIVITY")</f>
        <v>GOMF_ANTIPORTER_ACTIVITY</v>
      </c>
      <c r="C4777" s="4">
        <v>123</v>
      </c>
      <c r="D4777" s="3">
        <v>-0.82650230000000002</v>
      </c>
      <c r="E4777" s="1">
        <v>0.91390729999999998</v>
      </c>
      <c r="F4777" s="2">
        <v>0.91612280000000001</v>
      </c>
    </row>
    <row r="4778" spans="1:6" x14ac:dyDescent="0.25">
      <c r="A4778" t="s">
        <v>7</v>
      </c>
      <c r="B4778" s="5" t="str">
        <f>HYPERLINK("http://www.broadinstitute.org/gsea/msigdb/cards/GOCC_CONDENSED_CHROMOSOME_CENTROMERIC_REGION.html","GOCC_CONDENSED_CHROMOSOME_CENTROMERIC_REGION")</f>
        <v>GOCC_CONDENSED_CHROMOSOME_CENTROMERIC_REGION</v>
      </c>
      <c r="C4778" s="4">
        <v>174</v>
      </c>
      <c r="D4778" s="3">
        <v>-0.82706199999999996</v>
      </c>
      <c r="E4778" s="1">
        <v>0.94516129999999998</v>
      </c>
      <c r="F4778" s="2">
        <v>0.91554979999999997</v>
      </c>
    </row>
    <row r="4779" spans="1:6" x14ac:dyDescent="0.25">
      <c r="A4779" t="s">
        <v>6</v>
      </c>
      <c r="B4779" s="5" t="str">
        <f>HYPERLINK("http://www.broadinstitute.org/gsea/msigdb/cards/GOBP_POSITIVE_REGULATION_OF_CELL_GROWTH_INVOLVED_IN_CARDIAC_MUSCLE_CELL_DEVELOPMENT.html","GOBP_POSITIVE_REGULATION_OF_CELL_GROWTH_INVOLVED_IN_CARDIAC_MUSCLE_CELL_DEVELOPMENT")</f>
        <v>GOBP_POSITIVE_REGULATION_OF_CELL_GROWTH_INVOLVED_IN_CARDIAC_MUSCLE_CELL_DEVELOPMENT</v>
      </c>
      <c r="C4779" s="4">
        <v>18</v>
      </c>
      <c r="D4779" s="3">
        <v>-0.82840365000000005</v>
      </c>
      <c r="E4779" s="1">
        <v>0.72660100000000005</v>
      </c>
      <c r="F4779" s="2">
        <v>0.91356420000000005</v>
      </c>
    </row>
    <row r="4780" spans="1:6" x14ac:dyDescent="0.25">
      <c r="A4780" t="s">
        <v>7</v>
      </c>
      <c r="B4780" s="5" t="str">
        <f>HYPERLINK("http://www.broadinstitute.org/gsea/msigdb/cards/GOCC_POTASSIUM_CHANNEL_COMPLEX.html","GOCC_POTASSIUM_CHANNEL_COMPLEX")</f>
        <v>GOCC_POTASSIUM_CHANNEL_COMPLEX</v>
      </c>
      <c r="C4780" s="4">
        <v>89</v>
      </c>
      <c r="D4780" s="3">
        <v>-0.82841359999999997</v>
      </c>
      <c r="E4780" s="1">
        <v>0.88034190000000001</v>
      </c>
      <c r="F4780" s="2">
        <v>0.91403800000000002</v>
      </c>
    </row>
    <row r="4781" spans="1:6" x14ac:dyDescent="0.25">
      <c r="A4781" t="s">
        <v>8</v>
      </c>
      <c r="B4781" s="5" t="str">
        <f>HYPERLINK("http://www.broadinstitute.org/gsea/msigdb/cards/GOMF_DNA_DIRECTED_DNA_POLYMERASE_ACTIVITY.html","GOMF_DNA_DIRECTED_DNA_POLYMERASE_ACTIVITY")</f>
        <v>GOMF_DNA_DIRECTED_DNA_POLYMERASE_ACTIVITY</v>
      </c>
      <c r="C4781" s="4">
        <v>22</v>
      </c>
      <c r="D4781" s="3">
        <v>-0.82848299999999997</v>
      </c>
      <c r="E4781" s="1">
        <v>0.72350230000000004</v>
      </c>
      <c r="F4781" s="2">
        <v>0.91440469999999996</v>
      </c>
    </row>
    <row r="4782" spans="1:6" x14ac:dyDescent="0.25">
      <c r="A4782" t="s">
        <v>6</v>
      </c>
      <c r="B4782" s="5" t="str">
        <f>HYPERLINK("http://www.broadinstitute.org/gsea/msigdb/cards/GOBP_TETRAPYRROLE_METABOLIC_PROCESS.html","GOBP_TETRAPYRROLE_METABOLIC_PROCESS")</f>
        <v>GOBP_TETRAPYRROLE_METABOLIC_PROCESS</v>
      </c>
      <c r="C4782" s="4">
        <v>52</v>
      </c>
      <c r="D4782" s="3">
        <v>-0.82873929999999996</v>
      </c>
      <c r="E4782" s="1">
        <v>0.82170540000000003</v>
      </c>
      <c r="F4782" s="2">
        <v>0.9144407</v>
      </c>
    </row>
    <row r="4783" spans="1:6" x14ac:dyDescent="0.25">
      <c r="A4783" t="s">
        <v>6</v>
      </c>
      <c r="B4783" s="5" t="str">
        <f>HYPERLINK("http://www.broadinstitute.org/gsea/msigdb/cards/GOBP_SNRNA_TRANSCRIPTION_BY_RNA_POLYMERASE_II.html","GOBP_SNRNA_TRANSCRIPTION_BY_RNA_POLYMERASE_II")</f>
        <v>GOBP_SNRNA_TRANSCRIPTION_BY_RNA_POLYMERASE_II</v>
      </c>
      <c r="C4783" s="4">
        <v>15</v>
      </c>
      <c r="D4783" s="3">
        <v>-0.83070679999999997</v>
      </c>
      <c r="E4783" s="1">
        <v>0.68396230000000002</v>
      </c>
      <c r="F4783" s="2">
        <v>0.91122159999999996</v>
      </c>
    </row>
    <row r="4784" spans="1:6" x14ac:dyDescent="0.25">
      <c r="A4784" t="s">
        <v>7</v>
      </c>
      <c r="B4784" s="5" t="str">
        <f>HYPERLINK("http://www.broadinstitute.org/gsea/msigdb/cards/GOCC_TRANSCRIPTION_FACTOR_TFTC_COMPLEX.html","GOCC_TRANSCRIPTION_FACTOR_TFTC_COMPLEX")</f>
        <v>GOCC_TRANSCRIPTION_FACTOR_TFTC_COMPLEX</v>
      </c>
      <c r="C4784" s="4">
        <v>18</v>
      </c>
      <c r="D4784" s="3">
        <v>-0.83101230000000004</v>
      </c>
      <c r="E4784" s="1">
        <v>0.74717829999999996</v>
      </c>
      <c r="F4784" s="2">
        <v>0.91113955000000002</v>
      </c>
    </row>
    <row r="4785" spans="1:6" x14ac:dyDescent="0.25">
      <c r="A4785" t="s">
        <v>7</v>
      </c>
      <c r="B4785" s="5" t="str">
        <f>HYPERLINK("http://www.broadinstitute.org/gsea/msigdb/cards/GOCC_STEREOCILIUM_BUNDLE.html","GOCC_STEREOCILIUM_BUNDLE")</f>
        <v>GOCC_STEREOCILIUM_BUNDLE</v>
      </c>
      <c r="C4785" s="4">
        <v>67</v>
      </c>
      <c r="D4785" s="3">
        <v>-0.83127123000000003</v>
      </c>
      <c r="E4785" s="1">
        <v>0.83333330000000005</v>
      </c>
      <c r="F4785" s="2">
        <v>0.91111240000000004</v>
      </c>
    </row>
    <row r="4786" spans="1:6" x14ac:dyDescent="0.25">
      <c r="A4786" t="s">
        <v>8</v>
      </c>
      <c r="B4786" s="5" t="str">
        <f>HYPERLINK("http://www.broadinstitute.org/gsea/msigdb/cards/GOMF_MICROTUBULE_MOTOR_ACTIVITY.html","GOMF_MICROTUBULE_MOTOR_ACTIVITY")</f>
        <v>GOMF_MICROTUBULE_MOTOR_ACTIVITY</v>
      </c>
      <c r="C4786" s="4">
        <v>65</v>
      </c>
      <c r="D4786" s="3">
        <v>-0.83255710000000005</v>
      </c>
      <c r="E4786" s="1">
        <v>0.81182796000000002</v>
      </c>
      <c r="F4786" s="2">
        <v>0.90908500000000003</v>
      </c>
    </row>
    <row r="4787" spans="1:6" x14ac:dyDescent="0.25">
      <c r="A4787" t="s">
        <v>7</v>
      </c>
      <c r="B4787" s="5" t="str">
        <f>HYPERLINK("http://www.broadinstitute.org/gsea/msigdb/cards/GOCC_DENDRITE_MEMBRANE.html","GOCC_DENDRITE_MEMBRANE")</f>
        <v>GOCC_DENDRITE_MEMBRANE</v>
      </c>
      <c r="C4787" s="4">
        <v>48</v>
      </c>
      <c r="D4787" s="3">
        <v>-0.83293680000000003</v>
      </c>
      <c r="E4787" s="1">
        <v>0.77918779999999999</v>
      </c>
      <c r="F4787" s="2">
        <v>0.90885990000000005</v>
      </c>
    </row>
    <row r="4788" spans="1:6" x14ac:dyDescent="0.25">
      <c r="A4788" t="s">
        <v>8</v>
      </c>
      <c r="B4788" s="5" t="str">
        <f>HYPERLINK("http://www.broadinstitute.org/gsea/msigdb/cards/GOMF_C_ACYLTRANSFERASE_ACTIVITY.html","GOMF_C_ACYLTRANSFERASE_ACTIVITY")</f>
        <v>GOMF_C_ACYLTRANSFERASE_ACTIVITY</v>
      </c>
      <c r="C4788" s="4">
        <v>19</v>
      </c>
      <c r="D4788" s="3">
        <v>-0.83340899999999996</v>
      </c>
      <c r="E4788" s="1">
        <v>0.71593534999999997</v>
      </c>
      <c r="F4788" s="2">
        <v>0.9084527</v>
      </c>
    </row>
    <row r="4789" spans="1:6" x14ac:dyDescent="0.25">
      <c r="A4789" t="s">
        <v>8</v>
      </c>
      <c r="B4789" s="5" t="str">
        <f>HYPERLINK("http://www.broadinstitute.org/gsea/msigdb/cards/GOMF_RIBOSOMAL_SMALL_SUBUNIT_BINDING.html","GOMF_RIBOSOMAL_SMALL_SUBUNIT_BINDING")</f>
        <v>GOMF_RIBOSOMAL_SMALL_SUBUNIT_BINDING</v>
      </c>
      <c r="C4789" s="4">
        <v>17</v>
      </c>
      <c r="D4789" s="3">
        <v>-0.83358049999999995</v>
      </c>
      <c r="E4789" s="1">
        <v>0.69711535999999996</v>
      </c>
      <c r="F4789" s="2">
        <v>0.90861099999999995</v>
      </c>
    </row>
    <row r="4790" spans="1:6" x14ac:dyDescent="0.25">
      <c r="A4790" t="s">
        <v>6</v>
      </c>
      <c r="B4790" s="5" t="str">
        <f>HYPERLINK("http://www.broadinstitute.org/gsea/msigdb/cards/GOBP_POSITIVE_REGULATION_OF_TELOMERASE_ACTIVITY.html","GOBP_POSITIVE_REGULATION_OF_TELOMERASE_ACTIVITY")</f>
        <v>GOBP_POSITIVE_REGULATION_OF_TELOMERASE_ACTIVITY</v>
      </c>
      <c r="C4790" s="4">
        <v>33</v>
      </c>
      <c r="D4790" s="3">
        <v>-0.83375489999999997</v>
      </c>
      <c r="E4790" s="1">
        <v>0.74939173000000003</v>
      </c>
      <c r="F4790" s="2">
        <v>0.90877514999999998</v>
      </c>
    </row>
    <row r="4791" spans="1:6" x14ac:dyDescent="0.25">
      <c r="A4791" t="s">
        <v>6</v>
      </c>
      <c r="B4791" s="5" t="str">
        <f>HYPERLINK("http://www.broadinstitute.org/gsea/msigdb/cards/GOBP_REGULATION_OF_TRANSCRIPTION_BY_RNA_POLYMERASE_I.html","GOBP_REGULATION_OF_TRANSCRIPTION_BY_RNA_POLYMERASE_I")</f>
        <v>GOBP_REGULATION_OF_TRANSCRIPTION_BY_RNA_POLYMERASE_I</v>
      </c>
      <c r="C4791" s="4">
        <v>46</v>
      </c>
      <c r="D4791" s="3">
        <v>-0.83383494999999996</v>
      </c>
      <c r="E4791" s="1">
        <v>0.78016083999999997</v>
      </c>
      <c r="F4791" s="2">
        <v>0.90911233000000002</v>
      </c>
    </row>
    <row r="4792" spans="1:6" x14ac:dyDescent="0.25">
      <c r="A4792" t="s">
        <v>6</v>
      </c>
      <c r="B4792" s="5" t="str">
        <f>HYPERLINK("http://www.broadinstitute.org/gsea/msigdb/cards/GOBP_CELLULAR_PROCESS_INVOLVED_IN_REPRODUCTION_IN_MULTICELLULAR_ORGANISM.html","GOBP_CELLULAR_PROCESS_INVOLVED_IN_REPRODUCTION_IN_MULTICELLULAR_ORGANISM")</f>
        <v>GOBP_CELLULAR_PROCESS_INVOLVED_IN_REPRODUCTION_IN_MULTICELLULAR_ORGANISM</v>
      </c>
      <c r="C4792" s="4">
        <v>486</v>
      </c>
      <c r="D4792" s="3">
        <v>-0.83395326000000003</v>
      </c>
      <c r="E4792" s="1">
        <v>0.99082570000000003</v>
      </c>
      <c r="F4792" s="2">
        <v>0.90938810000000003</v>
      </c>
    </row>
    <row r="4793" spans="1:6" x14ac:dyDescent="0.25">
      <c r="A4793" t="s">
        <v>6</v>
      </c>
      <c r="B4793" s="5" t="str">
        <f>HYPERLINK("http://www.broadinstitute.org/gsea/msigdb/cards/GOBP_NEUROTRANSMITTER_SECRETION.html","GOBP_NEUROTRANSMITTER_SECRETION")</f>
        <v>GOBP_NEUROTRANSMITTER_SECRETION</v>
      </c>
      <c r="C4793" s="4">
        <v>173</v>
      </c>
      <c r="D4793" s="3">
        <v>-0.83423020000000003</v>
      </c>
      <c r="E4793" s="1">
        <v>0.91950463999999998</v>
      </c>
      <c r="F4793" s="2">
        <v>0.90932060000000003</v>
      </c>
    </row>
    <row r="4794" spans="1:6" x14ac:dyDescent="0.25">
      <c r="A4794" t="s">
        <v>6</v>
      </c>
      <c r="B4794" s="5" t="str">
        <f>HYPERLINK("http://www.broadinstitute.org/gsea/msigdb/cards/GOBP_AMINE_BIOSYNTHETIC_PROCESS.html","GOBP_AMINE_BIOSYNTHETIC_PROCESS")</f>
        <v>GOBP_AMINE_BIOSYNTHETIC_PROCESS</v>
      </c>
      <c r="C4794" s="4">
        <v>41</v>
      </c>
      <c r="D4794" s="3">
        <v>-0.83509310000000003</v>
      </c>
      <c r="E4794" s="1">
        <v>0.77078086000000001</v>
      </c>
      <c r="F4794" s="2">
        <v>0.90812904000000005</v>
      </c>
    </row>
    <row r="4795" spans="1:6" x14ac:dyDescent="0.25">
      <c r="A4795" t="s">
        <v>10</v>
      </c>
      <c r="B4795" s="5" t="str">
        <f>HYPERLINK("http://www.broadinstitute.org/gsea/msigdb/cards/REACTOME_GAP_FILLING_DNA_REPAIR_SYNTHESIS_AND_LIGATION_IN_GG_NER.html","REACTOME_GAP_FILLING_DNA_REPAIR_SYNTHESIS_AND_LIGATION_IN_GG_NER")</f>
        <v>REACTOME_GAP_FILLING_DNA_REPAIR_SYNTHESIS_AND_LIGATION_IN_GG_NER</v>
      </c>
      <c r="C4795" s="4">
        <v>21</v>
      </c>
      <c r="D4795" s="3">
        <v>-0.83530919999999997</v>
      </c>
      <c r="E4795" s="1">
        <v>0.72704714999999998</v>
      </c>
      <c r="F4795" s="2">
        <v>0.90819019999999995</v>
      </c>
    </row>
    <row r="4796" spans="1:6" x14ac:dyDescent="0.25">
      <c r="A4796" t="s">
        <v>6</v>
      </c>
      <c r="B4796" s="5" t="str">
        <f>HYPERLINK("http://www.broadinstitute.org/gsea/msigdb/cards/GOBP_NUCLEOTIDE_TRANSMEMBRANE_TRANSPORT.html","GOBP_NUCLEOTIDE_TRANSMEMBRANE_TRANSPORT")</f>
        <v>GOBP_NUCLEOTIDE_TRANSMEMBRANE_TRANSPORT</v>
      </c>
      <c r="C4796" s="4">
        <v>21</v>
      </c>
      <c r="D4796" s="3">
        <v>-0.83544209999999997</v>
      </c>
      <c r="E4796" s="1">
        <v>0.71428572999999995</v>
      </c>
      <c r="F4796" s="2">
        <v>0.90841680000000002</v>
      </c>
    </row>
    <row r="4797" spans="1:6" x14ac:dyDescent="0.25">
      <c r="A4797" t="s">
        <v>6</v>
      </c>
      <c r="B4797" s="5" t="str">
        <f>HYPERLINK("http://www.broadinstitute.org/gsea/msigdb/cards/GOBP_SYNAPTIC_VESICLE_EXOCYTOSIS.html","GOBP_SYNAPTIC_VESICLE_EXOCYTOSIS")</f>
        <v>GOBP_SYNAPTIC_VESICLE_EXOCYTOSIS</v>
      </c>
      <c r="C4797" s="4">
        <v>114</v>
      </c>
      <c r="D4797" s="3">
        <v>-0.8355167</v>
      </c>
      <c r="E4797" s="1">
        <v>0.84036140000000004</v>
      </c>
      <c r="F4797" s="2">
        <v>0.90876853000000002</v>
      </c>
    </row>
    <row r="4798" spans="1:6" x14ac:dyDescent="0.25">
      <c r="A4798" t="s">
        <v>6</v>
      </c>
      <c r="B4798" s="5" t="str">
        <f>HYPERLINK("http://www.broadinstitute.org/gsea/msigdb/cards/GOBP_CELL_CYCLE_CHECKPOINT_SIGNALING.html","GOBP_CELL_CYCLE_CHECKPOINT_SIGNALING")</f>
        <v>GOBP_CELL_CYCLE_CHECKPOINT_SIGNALING</v>
      </c>
      <c r="C4798" s="4">
        <v>190</v>
      </c>
      <c r="D4798" s="3">
        <v>-0.83688549999999995</v>
      </c>
      <c r="E4798" s="1">
        <v>0.93624160000000001</v>
      </c>
      <c r="F4798" s="2">
        <v>0.90651625000000002</v>
      </c>
    </row>
    <row r="4799" spans="1:6" x14ac:dyDescent="0.25">
      <c r="A4799" t="s">
        <v>10</v>
      </c>
      <c r="B4799" s="5" t="str">
        <f>HYPERLINK("http://www.broadinstitute.org/gsea/msigdb/cards/REACTOME_DIGESTION_AND_ABSORPTION.html","REACTOME_DIGESTION_AND_ABSORPTION")</f>
        <v>REACTOME_DIGESTION_AND_ABSORPTION</v>
      </c>
      <c r="C4799" s="4">
        <v>17</v>
      </c>
      <c r="D4799" s="3">
        <v>-0.83692060000000001</v>
      </c>
      <c r="E4799" s="1">
        <v>0.7089202</v>
      </c>
      <c r="F4799" s="2">
        <v>0.90694470000000005</v>
      </c>
    </row>
    <row r="4800" spans="1:6" x14ac:dyDescent="0.25">
      <c r="A4800" t="s">
        <v>6</v>
      </c>
      <c r="B4800" s="5" t="str">
        <f>HYPERLINK("http://www.broadinstitute.org/gsea/msigdb/cards/GOBP_NEGATIVE_REGULATION_OF_MITOTIC_CELL_CYCLE_PHASE_TRANSITION.html","GOBP_NEGATIVE_REGULATION_OF_MITOTIC_CELL_CYCLE_PHASE_TRANSITION")</f>
        <v>GOBP_NEGATIVE_REGULATION_OF_MITOTIC_CELL_CYCLE_PHASE_TRANSITION</v>
      </c>
      <c r="C4800" s="4">
        <v>172</v>
      </c>
      <c r="D4800" s="3">
        <v>-0.83749720000000005</v>
      </c>
      <c r="E4800" s="1">
        <v>0.93134326000000001</v>
      </c>
      <c r="F4800" s="2">
        <v>0.90628313999999999</v>
      </c>
    </row>
    <row r="4801" spans="1:6" x14ac:dyDescent="0.25">
      <c r="A4801" t="s">
        <v>6</v>
      </c>
      <c r="B4801" s="5" t="str">
        <f>HYPERLINK("http://www.broadinstitute.org/gsea/msigdb/cards/GOBP_CRANIAL_NERVE_MORPHOGENESIS.html","GOBP_CRANIAL_NERVE_MORPHOGENESIS")</f>
        <v>GOBP_CRANIAL_NERVE_MORPHOGENESIS</v>
      </c>
      <c r="C4801" s="4">
        <v>31</v>
      </c>
      <c r="D4801" s="3">
        <v>-0.83764159999999999</v>
      </c>
      <c r="E4801" s="1">
        <v>0.74689823</v>
      </c>
      <c r="F4801" s="2">
        <v>0.90650505000000003</v>
      </c>
    </row>
    <row r="4802" spans="1:6" x14ac:dyDescent="0.25">
      <c r="A4802" t="s">
        <v>6</v>
      </c>
      <c r="B4802" s="5" t="str">
        <f>HYPERLINK("http://www.broadinstitute.org/gsea/msigdb/cards/GOBP_MITOTIC_CELL_CYCLE_CHECKPOINT_SIGNALING.html","GOBP_MITOTIC_CELL_CYCLE_CHECKPOINT_SIGNALING")</f>
        <v>GOBP_MITOTIC_CELL_CYCLE_CHECKPOINT_SIGNALING</v>
      </c>
      <c r="C4802" s="4">
        <v>145</v>
      </c>
      <c r="D4802" s="3">
        <v>-0.83836109999999997</v>
      </c>
      <c r="E4802" s="1">
        <v>0.89556959999999997</v>
      </c>
      <c r="F4802" s="2">
        <v>0.90560715999999997</v>
      </c>
    </row>
    <row r="4803" spans="1:6" x14ac:dyDescent="0.25">
      <c r="A4803" t="s">
        <v>6</v>
      </c>
      <c r="B4803" s="5" t="str">
        <f>HYPERLINK("http://www.broadinstitute.org/gsea/msigdb/cards/GOBP_NEGATIVE_REGULATION_OF_TELOMERE_MAINTENANCE.html","GOBP_NEGATIVE_REGULATION_OF_TELOMERE_MAINTENANCE")</f>
        <v>GOBP_NEGATIVE_REGULATION_OF_TELOMERE_MAINTENANCE</v>
      </c>
      <c r="C4803" s="4">
        <v>35</v>
      </c>
      <c r="D4803" s="3">
        <v>-0.83836113999999995</v>
      </c>
      <c r="E4803" s="1">
        <v>0.73209550000000001</v>
      </c>
      <c r="F4803" s="2">
        <v>0.90610444999999995</v>
      </c>
    </row>
    <row r="4804" spans="1:6" x14ac:dyDescent="0.25">
      <c r="A4804" t="s">
        <v>6</v>
      </c>
      <c r="B4804" s="5" t="str">
        <f>HYPERLINK("http://www.broadinstitute.org/gsea/msigdb/cards/GOBP_STABILIZATION_OF_MEMBRANE_POTENTIAL.html","GOBP_STABILIZATION_OF_MEMBRANE_POTENTIAL")</f>
        <v>GOBP_STABILIZATION_OF_MEMBRANE_POTENTIAL</v>
      </c>
      <c r="C4804" s="4">
        <v>15</v>
      </c>
      <c r="D4804" s="3">
        <v>-0.83854525999999996</v>
      </c>
      <c r="E4804" s="1">
        <v>0.66439910000000002</v>
      </c>
      <c r="F4804" s="2">
        <v>0.90622510000000001</v>
      </c>
    </row>
    <row r="4805" spans="1:6" x14ac:dyDescent="0.25">
      <c r="A4805" t="s">
        <v>6</v>
      </c>
      <c r="B4805" s="5" t="str">
        <f>HYPERLINK("http://www.broadinstitute.org/gsea/msigdb/cards/GOBP_SIGNAL_TRANSDUCTION_INVOLVED_IN_REGULATION_OF_GENE_EXPRESSION.html","GOBP_SIGNAL_TRANSDUCTION_INVOLVED_IN_REGULATION_OF_GENE_EXPRESSION")</f>
        <v>GOBP_SIGNAL_TRANSDUCTION_INVOLVED_IN_REGULATION_OF_GENE_EXPRESSION</v>
      </c>
      <c r="C4805" s="4">
        <v>27</v>
      </c>
      <c r="D4805" s="3">
        <v>-0.83949510000000005</v>
      </c>
      <c r="E4805" s="1">
        <v>0.71875</v>
      </c>
      <c r="F4805" s="2">
        <v>0.90478420000000004</v>
      </c>
    </row>
    <row r="4806" spans="1:6" x14ac:dyDescent="0.25">
      <c r="A4806" t="s">
        <v>6</v>
      </c>
      <c r="B4806" s="5" t="str">
        <f>HYPERLINK("http://www.broadinstitute.org/gsea/msigdb/cards/GOBP_POSITIVE_REGULATION_OF_CHROMOSOME_ORGANIZATION.html","GOBP_POSITIVE_REGULATION_OF_CHROMOSOME_ORGANIZATION")</f>
        <v>GOBP_POSITIVE_REGULATION_OF_CHROMOSOME_ORGANIZATION</v>
      </c>
      <c r="C4806" s="4">
        <v>106</v>
      </c>
      <c r="D4806" s="3">
        <v>-0.84006219999999998</v>
      </c>
      <c r="E4806" s="1">
        <v>0.83437499999999998</v>
      </c>
      <c r="F4806" s="2">
        <v>0.90414494000000001</v>
      </c>
    </row>
    <row r="4807" spans="1:6" x14ac:dyDescent="0.25">
      <c r="A4807" t="s">
        <v>6</v>
      </c>
      <c r="B4807" s="5" t="str">
        <f>HYPERLINK("http://www.broadinstitute.org/gsea/msigdb/cards/GOBP_NEGATIVE_REGULATION_OF_CELL_GROWTH_INVOLVED_IN_CARDIAC_MUSCLE_CELL_DEVELOPMENT.html","GOBP_NEGATIVE_REGULATION_OF_CELL_GROWTH_INVOLVED_IN_CARDIAC_MUSCLE_CELL_DEVELOPMENT")</f>
        <v>GOBP_NEGATIVE_REGULATION_OF_CELL_GROWTH_INVOLVED_IN_CARDIAC_MUSCLE_CELL_DEVELOPMENT</v>
      </c>
      <c r="C4807" s="4">
        <v>15</v>
      </c>
      <c r="D4807" s="3">
        <v>-0.8400628</v>
      </c>
      <c r="E4807" s="1">
        <v>0.68456375999999997</v>
      </c>
      <c r="F4807" s="2">
        <v>0.90464056000000004</v>
      </c>
    </row>
    <row r="4808" spans="1:6" x14ac:dyDescent="0.25">
      <c r="A4808" t="s">
        <v>6</v>
      </c>
      <c r="B4808" s="5" t="str">
        <f>HYPERLINK("http://www.broadinstitute.org/gsea/msigdb/cards/GOBP_CELLULAR_RESPONSE_TO_CHOLESTEROL.html","GOBP_CELLULAR_RESPONSE_TO_CHOLESTEROL")</f>
        <v>GOBP_CELLULAR_RESPONSE_TO_CHOLESTEROL</v>
      </c>
      <c r="C4808" s="4">
        <v>21</v>
      </c>
      <c r="D4808" s="3">
        <v>-0.84018700000000002</v>
      </c>
      <c r="E4808" s="1">
        <v>0.65871120000000005</v>
      </c>
      <c r="F4808" s="2">
        <v>0.90487384999999998</v>
      </c>
    </row>
    <row r="4809" spans="1:6" x14ac:dyDescent="0.25">
      <c r="A4809" t="s">
        <v>6</v>
      </c>
      <c r="B4809" s="5" t="str">
        <f>HYPERLINK("http://www.broadinstitute.org/gsea/msigdb/cards/GOBP_CATECHOLAMINE_TRANSPORT.html","GOBP_CATECHOLAMINE_TRANSPORT")</f>
        <v>GOBP_CATECHOLAMINE_TRANSPORT</v>
      </c>
      <c r="C4809" s="4">
        <v>92</v>
      </c>
      <c r="D4809" s="3">
        <v>-0.84040870000000001</v>
      </c>
      <c r="E4809" s="1">
        <v>0.81845235999999999</v>
      </c>
      <c r="F4809" s="2">
        <v>0.90492415000000004</v>
      </c>
    </row>
    <row r="4810" spans="1:6" x14ac:dyDescent="0.25">
      <c r="A4810" t="s">
        <v>8</v>
      </c>
      <c r="B4810" s="5" t="str">
        <f>HYPERLINK("http://www.broadinstitute.org/gsea/msigdb/cards/GOMF_VOLTAGE_GATED_CALCIUM_CHANNEL_ACTIVITY.html","GOMF_VOLTAGE_GATED_CALCIUM_CHANNEL_ACTIVITY")</f>
        <v>GOMF_VOLTAGE_GATED_CALCIUM_CHANNEL_ACTIVITY</v>
      </c>
      <c r="C4810" s="4">
        <v>41</v>
      </c>
      <c r="D4810" s="3">
        <v>-0.84118325000000005</v>
      </c>
      <c r="E4810" s="1">
        <v>0.72330099999999997</v>
      </c>
      <c r="F4810" s="2">
        <v>0.90384229999999999</v>
      </c>
    </row>
    <row r="4811" spans="1:6" x14ac:dyDescent="0.25">
      <c r="A4811" t="s">
        <v>6</v>
      </c>
      <c r="B4811" s="5" t="str">
        <f>HYPERLINK("http://www.broadinstitute.org/gsea/msigdb/cards/GOBP_SHORT_TERM_MEMORY.html","GOBP_SHORT_TERM_MEMORY")</f>
        <v>GOBP_SHORT_TERM_MEMORY</v>
      </c>
      <c r="C4811" s="4">
        <v>18</v>
      </c>
      <c r="D4811" s="3">
        <v>-0.84173920000000002</v>
      </c>
      <c r="E4811" s="1">
        <v>0.69887639999999995</v>
      </c>
      <c r="F4811" s="2">
        <v>0.90320307</v>
      </c>
    </row>
    <row r="4812" spans="1:6" x14ac:dyDescent="0.25">
      <c r="A4812" t="s">
        <v>6</v>
      </c>
      <c r="B4812" s="5" t="str">
        <f>HYPERLINK("http://www.broadinstitute.org/gsea/msigdb/cards/GOBP_POSITIVE_REGULATION_OF_DENDRITE_DEVELOPMENT.html","GOBP_POSITIVE_REGULATION_OF_DENDRITE_DEVELOPMENT")</f>
        <v>GOBP_POSITIVE_REGULATION_OF_DENDRITE_DEVELOPMENT</v>
      </c>
      <c r="C4812" s="4">
        <v>22</v>
      </c>
      <c r="D4812" s="3">
        <v>-0.84244669999999999</v>
      </c>
      <c r="E4812" s="1">
        <v>0.72768880000000002</v>
      </c>
      <c r="F4812" s="2">
        <v>0.90231490000000003</v>
      </c>
    </row>
    <row r="4813" spans="1:6" x14ac:dyDescent="0.25">
      <c r="A4813" t="s">
        <v>6</v>
      </c>
      <c r="B4813" s="5" t="str">
        <f>HYPERLINK("http://www.broadinstitute.org/gsea/msigdb/cards/GOBP_ESTABLISHMENT_OF_RNA_LOCALIZATION.html","GOBP_ESTABLISHMENT_OF_RNA_LOCALIZATION")</f>
        <v>GOBP_ESTABLISHMENT_OF_RNA_LOCALIZATION</v>
      </c>
      <c r="C4813" s="4">
        <v>138</v>
      </c>
      <c r="D4813" s="3">
        <v>-0.84261940000000002</v>
      </c>
      <c r="E4813" s="1">
        <v>0.87055015999999996</v>
      </c>
      <c r="F4813" s="2">
        <v>0.90246890000000002</v>
      </c>
    </row>
    <row r="4814" spans="1:6" x14ac:dyDescent="0.25">
      <c r="A4814" t="s">
        <v>6</v>
      </c>
      <c r="B4814" s="5" t="str">
        <f>HYPERLINK("http://www.broadinstitute.org/gsea/msigdb/cards/GOBP_SPINDLE_CHECKPOINT_SIGNALING.html","GOBP_SPINDLE_CHECKPOINT_SIGNALING")</f>
        <v>GOBP_SPINDLE_CHECKPOINT_SIGNALING</v>
      </c>
      <c r="C4814" s="4">
        <v>51</v>
      </c>
      <c r="D4814" s="3">
        <v>-0.84300244000000002</v>
      </c>
      <c r="E4814" s="1">
        <v>0.77188330000000005</v>
      </c>
      <c r="F4814" s="2">
        <v>0.90219499999999997</v>
      </c>
    </row>
    <row r="4815" spans="1:6" x14ac:dyDescent="0.25">
      <c r="A4815" t="s">
        <v>6</v>
      </c>
      <c r="B4815" s="5" t="str">
        <f>HYPERLINK("http://www.broadinstitute.org/gsea/msigdb/cards/GOBP_MITOCHONDRIAL_FISSION.html","GOBP_MITOCHONDRIAL_FISSION")</f>
        <v>GOBP_MITOCHONDRIAL_FISSION</v>
      </c>
      <c r="C4815" s="4">
        <v>49</v>
      </c>
      <c r="D4815" s="3">
        <v>-0.84356379999999997</v>
      </c>
      <c r="E4815" s="1">
        <v>0.76315789999999994</v>
      </c>
      <c r="F4815" s="2">
        <v>0.90149599999999996</v>
      </c>
    </row>
    <row r="4816" spans="1:6" x14ac:dyDescent="0.25">
      <c r="A4816" t="s">
        <v>6</v>
      </c>
      <c r="B4816" s="5" t="str">
        <f>HYPERLINK("http://www.broadinstitute.org/gsea/msigdb/cards/GOBP_NEGATIVE_REGULATION_OF_TELOMERE_MAINTENANCE_VIA_TELOMERE_LENGTHENING.html","GOBP_NEGATIVE_REGULATION_OF_TELOMERE_MAINTENANCE_VIA_TELOMERE_LENGTHENING")</f>
        <v>GOBP_NEGATIVE_REGULATION_OF_TELOMERE_MAINTENANCE_VIA_TELOMERE_LENGTHENING</v>
      </c>
      <c r="C4816" s="4">
        <v>26</v>
      </c>
      <c r="D4816" s="3">
        <v>-0.84374470000000001</v>
      </c>
      <c r="E4816" s="1">
        <v>0.74623114000000002</v>
      </c>
      <c r="F4816" s="2">
        <v>0.90160929999999995</v>
      </c>
    </row>
    <row r="4817" spans="1:6" x14ac:dyDescent="0.25">
      <c r="A4817" t="s">
        <v>10</v>
      </c>
      <c r="B4817" s="5" t="str">
        <f>HYPERLINK("http://www.broadinstitute.org/gsea/msigdb/cards/REACTOME_TRANSMISSION_ACROSS_CHEMICAL_SYNAPSES.html","REACTOME_TRANSMISSION_ACROSS_CHEMICAL_SYNAPSES")</f>
        <v>REACTOME_TRANSMISSION_ACROSS_CHEMICAL_SYNAPSES</v>
      </c>
      <c r="C4817" s="4">
        <v>204</v>
      </c>
      <c r="D4817" s="3">
        <v>-0.84470029999999996</v>
      </c>
      <c r="E4817" s="1">
        <v>0.90780139999999998</v>
      </c>
      <c r="F4817" s="2">
        <v>0.90014905000000001</v>
      </c>
    </row>
    <row r="4818" spans="1:6" x14ac:dyDescent="0.25">
      <c r="A4818" t="s">
        <v>6</v>
      </c>
      <c r="B4818" s="5" t="str">
        <f>HYPERLINK("http://www.broadinstitute.org/gsea/msigdb/cards/GOBP_NEGATIVE_REGULATION_OF_CARTILAGE_DEVELOPMENT.html","GOBP_NEGATIVE_REGULATION_OF_CARTILAGE_DEVELOPMENT")</f>
        <v>GOBP_NEGATIVE_REGULATION_OF_CARTILAGE_DEVELOPMENT</v>
      </c>
      <c r="C4818" s="4">
        <v>32</v>
      </c>
      <c r="D4818" s="3">
        <v>-0.84562236000000002</v>
      </c>
      <c r="E4818" s="1">
        <v>0.70886075000000004</v>
      </c>
      <c r="F4818" s="2">
        <v>0.89875393999999997</v>
      </c>
    </row>
    <row r="4819" spans="1:6" x14ac:dyDescent="0.25">
      <c r="A4819" t="s">
        <v>6</v>
      </c>
      <c r="B4819" s="5" t="str">
        <f>HYPERLINK("http://www.broadinstitute.org/gsea/msigdb/cards/GOBP_CARDIAC_CONDUCTION_SYSTEM_DEVELOPMENT.html","GOBP_CARDIAC_CONDUCTION_SYSTEM_DEVELOPMENT")</f>
        <v>GOBP_CARDIAC_CONDUCTION_SYSTEM_DEVELOPMENT</v>
      </c>
      <c r="C4819" s="4">
        <v>19</v>
      </c>
      <c r="D4819" s="3">
        <v>-0.84564280000000003</v>
      </c>
      <c r="E4819" s="1">
        <v>0.70145630000000003</v>
      </c>
      <c r="F4819" s="2">
        <v>0.89921165000000003</v>
      </c>
    </row>
    <row r="4820" spans="1:6" x14ac:dyDescent="0.25">
      <c r="A4820" t="s">
        <v>6</v>
      </c>
      <c r="B4820" s="5" t="str">
        <f>HYPERLINK("http://www.broadinstitute.org/gsea/msigdb/cards/GOBP_REGULATION_OF_NUCLEAR_DIVISION.html","GOBP_REGULATION_OF_NUCLEAR_DIVISION")</f>
        <v>GOBP_REGULATION_OF_NUCLEAR_DIVISION</v>
      </c>
      <c r="C4820" s="4">
        <v>145</v>
      </c>
      <c r="D4820" s="3">
        <v>-0.84623795999999996</v>
      </c>
      <c r="E4820" s="1">
        <v>0.87048190000000003</v>
      </c>
      <c r="F4820" s="2">
        <v>0.89845609999999998</v>
      </c>
    </row>
    <row r="4821" spans="1:6" x14ac:dyDescent="0.25">
      <c r="A4821" t="s">
        <v>7</v>
      </c>
      <c r="B4821" s="5" t="str">
        <f>HYPERLINK("http://www.broadinstitute.org/gsea/msigdb/cards/GOCC_FILAMENTOUS_ACTIN.html","GOCC_FILAMENTOUS_ACTIN")</f>
        <v>GOCC_FILAMENTOUS_ACTIN</v>
      </c>
      <c r="C4821" s="4">
        <v>36</v>
      </c>
      <c r="D4821" s="3">
        <v>-0.8468772</v>
      </c>
      <c r="E4821" s="1">
        <v>0.72682930000000001</v>
      </c>
      <c r="F4821" s="2">
        <v>0.89760994999999999</v>
      </c>
    </row>
    <row r="4822" spans="1:6" x14ac:dyDescent="0.25">
      <c r="A4822" t="s">
        <v>6</v>
      </c>
      <c r="B4822" s="5" t="str">
        <f>HYPERLINK("http://www.broadinstitute.org/gsea/msigdb/cards/GOBP_NEGATIVE_REGULATION_OF_CALCINEURIN_MEDIATED_SIGNALING.html","GOBP_NEGATIVE_REGULATION_OF_CALCINEURIN_MEDIATED_SIGNALING")</f>
        <v>GOBP_NEGATIVE_REGULATION_OF_CALCINEURIN_MEDIATED_SIGNALING</v>
      </c>
      <c r="C4822" s="4">
        <v>16</v>
      </c>
      <c r="D4822" s="3">
        <v>-0.84707370000000004</v>
      </c>
      <c r="E4822" s="1">
        <v>0.68627450000000001</v>
      </c>
      <c r="F4822" s="2">
        <v>0.89768190000000003</v>
      </c>
    </row>
    <row r="4823" spans="1:6" x14ac:dyDescent="0.25">
      <c r="A4823" t="s">
        <v>6</v>
      </c>
      <c r="B4823" s="5" t="str">
        <f>HYPERLINK("http://www.broadinstitute.org/gsea/msigdb/cards/GOBP_CELLULAR_RESPONSE_TO_RETINOIC_ACID.html","GOBP_CELLULAR_RESPONSE_TO_RETINOIC_ACID")</f>
        <v>GOBP_CELLULAR_RESPONSE_TO_RETINOIC_ACID</v>
      </c>
      <c r="C4823" s="4">
        <v>45</v>
      </c>
      <c r="D4823" s="3">
        <v>-0.84764539999999999</v>
      </c>
      <c r="E4823" s="1">
        <v>0.74707259999999998</v>
      </c>
      <c r="F4823" s="2">
        <v>0.89698160000000005</v>
      </c>
    </row>
    <row r="4824" spans="1:6" x14ac:dyDescent="0.25">
      <c r="A4824" t="s">
        <v>10</v>
      </c>
      <c r="B4824" s="5" t="str">
        <f>HYPERLINK("http://www.broadinstitute.org/gsea/msigdb/cards/REACTOME_INTERLEUKIN_7_SIGNALING.html","REACTOME_INTERLEUKIN_7_SIGNALING")</f>
        <v>REACTOME_INTERLEUKIN_7_SIGNALING</v>
      </c>
      <c r="C4824" s="4">
        <v>23</v>
      </c>
      <c r="D4824" s="3">
        <v>-0.84804040000000003</v>
      </c>
      <c r="E4824" s="1">
        <v>0.72169810000000001</v>
      </c>
      <c r="F4824" s="2">
        <v>0.89663965000000001</v>
      </c>
    </row>
    <row r="4825" spans="1:6" x14ac:dyDescent="0.25">
      <c r="A4825" t="s">
        <v>6</v>
      </c>
      <c r="B4825" s="5" t="str">
        <f>HYPERLINK("http://www.broadinstitute.org/gsea/msigdb/cards/GOBP_MOTOR_NEURON_MIGRATION.html","GOBP_MOTOR_NEURON_MIGRATION")</f>
        <v>GOBP_MOTOR_NEURON_MIGRATION</v>
      </c>
      <c r="C4825" s="4">
        <v>15</v>
      </c>
      <c r="D4825" s="3">
        <v>-0.84821749999999996</v>
      </c>
      <c r="E4825" s="1">
        <v>0.67045456000000003</v>
      </c>
      <c r="F4825" s="2">
        <v>0.89676064</v>
      </c>
    </row>
    <row r="4826" spans="1:6" x14ac:dyDescent="0.25">
      <c r="A4826" t="s">
        <v>10</v>
      </c>
      <c r="B4826" s="5" t="str">
        <f>HYPERLINK("http://www.broadinstitute.org/gsea/msigdb/cards/REACTOME_RND1_GTPASE_CYCLE.html","REACTOME_RND1_GTPASE_CYCLE")</f>
        <v>REACTOME_RND1_GTPASE_CYCLE</v>
      </c>
      <c r="C4826" s="4">
        <v>42</v>
      </c>
      <c r="D4826" s="3">
        <v>-0.84859669999999998</v>
      </c>
      <c r="E4826" s="1">
        <v>0.73205739999999997</v>
      </c>
      <c r="F4826" s="2">
        <v>0.89647036999999996</v>
      </c>
    </row>
    <row r="4827" spans="1:6" x14ac:dyDescent="0.25">
      <c r="A4827" t="s">
        <v>6</v>
      </c>
      <c r="B4827" s="5" t="str">
        <f>HYPERLINK("http://www.broadinstitute.org/gsea/msigdb/cards/GOBP_REGULATION_OF_NEUROTRANSMITTER_RECEPTOR_LOCALIZATION_TO_POSTSYNAPTIC_SPECIALIZATION_MEMBRANE.html","GOBP_REGULATION_OF_NEUROTRANSMITTER_RECEPTOR_LOCALIZATION_TO_POSTSYNAPTIC_SPECIALIZATION_MEMBRANE")</f>
        <v>GOBP_REGULATION_OF_NEUROTRANSMITTER_RECEPTOR_LOCALIZATION_TO_POSTSYNAPTIC_SPECIALIZATION_MEMBRANE</v>
      </c>
      <c r="C4827" s="4">
        <v>19</v>
      </c>
      <c r="D4827" s="3">
        <v>-0.84991269999999997</v>
      </c>
      <c r="E4827" s="1">
        <v>0.70483459999999998</v>
      </c>
      <c r="F4827" s="2">
        <v>0.89416932999999998</v>
      </c>
    </row>
    <row r="4828" spans="1:6" x14ac:dyDescent="0.25">
      <c r="A4828" t="s">
        <v>10</v>
      </c>
      <c r="B4828" s="5" t="str">
        <f>HYPERLINK("http://www.broadinstitute.org/gsea/msigdb/cards/REACTOME_GLUTAMATE_NEUROTRANSMITTER_RELEASE_CYCLE.html","REACTOME_GLUTAMATE_NEUROTRANSMITTER_RELEASE_CYCLE")</f>
        <v>REACTOME_GLUTAMATE_NEUROTRANSMITTER_RELEASE_CYCLE</v>
      </c>
      <c r="C4828" s="4">
        <v>24</v>
      </c>
      <c r="D4828" s="3">
        <v>-0.85043864999999996</v>
      </c>
      <c r="E4828" s="1">
        <v>0.72453699999999999</v>
      </c>
      <c r="F4828" s="2">
        <v>0.89350830000000003</v>
      </c>
    </row>
    <row r="4829" spans="1:6" x14ac:dyDescent="0.25">
      <c r="A4829" t="s">
        <v>6</v>
      </c>
      <c r="B4829" s="5" t="str">
        <f>HYPERLINK("http://www.broadinstitute.org/gsea/msigdb/cards/GOBP_EPOXYGENASE_P450_PATHWAY.html","GOBP_EPOXYGENASE_P450_PATHWAY")</f>
        <v>GOBP_EPOXYGENASE_P450_PATHWAY</v>
      </c>
      <c r="C4829" s="4">
        <v>28</v>
      </c>
      <c r="D4829" s="3">
        <v>-0.85053820000000002</v>
      </c>
      <c r="E4829" s="1">
        <v>0.70117646</v>
      </c>
      <c r="F4829" s="2">
        <v>0.89377680000000004</v>
      </c>
    </row>
    <row r="4830" spans="1:6" x14ac:dyDescent="0.25">
      <c r="A4830" t="s">
        <v>6</v>
      </c>
      <c r="B4830" s="5" t="str">
        <f>HYPERLINK("http://www.broadinstitute.org/gsea/msigdb/cards/GOBP_REGULATION_OF_PROTEIN_LOCALIZATION_TO_SYNAPSE.html","GOBP_REGULATION_OF_PROTEIN_LOCALIZATION_TO_SYNAPSE")</f>
        <v>GOBP_REGULATION_OF_PROTEIN_LOCALIZATION_TO_SYNAPSE</v>
      </c>
      <c r="C4830" s="4">
        <v>29</v>
      </c>
      <c r="D4830" s="3">
        <v>-0.85079910000000003</v>
      </c>
      <c r="E4830" s="1">
        <v>0.74803149999999996</v>
      </c>
      <c r="F4830" s="2">
        <v>0.89370870000000002</v>
      </c>
    </row>
    <row r="4831" spans="1:6" x14ac:dyDescent="0.25">
      <c r="A4831" t="s">
        <v>8</v>
      </c>
      <c r="B4831" s="5" t="str">
        <f>HYPERLINK("http://www.broadinstitute.org/gsea/msigdb/cards/GOMF_ALPHA_TUBULIN_BINDING.html","GOMF_ALPHA_TUBULIN_BINDING")</f>
        <v>GOMF_ALPHA_TUBULIN_BINDING</v>
      </c>
      <c r="C4831" s="4">
        <v>48</v>
      </c>
      <c r="D4831" s="3">
        <v>-0.85152983999999998</v>
      </c>
      <c r="E4831" s="1">
        <v>0.74554706000000004</v>
      </c>
      <c r="F4831" s="2">
        <v>0.89266694000000002</v>
      </c>
    </row>
    <row r="4832" spans="1:6" x14ac:dyDescent="0.25">
      <c r="A4832" t="s">
        <v>6</v>
      </c>
      <c r="B4832" s="5" t="str">
        <f>HYPERLINK("http://www.broadinstitute.org/gsea/msigdb/cards/GOBP_SMOOTHENED_SIGNALING_PATHWAY.html","GOBP_SMOOTHENED_SIGNALING_PATHWAY")</f>
        <v>GOBP_SMOOTHENED_SIGNALING_PATHWAY</v>
      </c>
      <c r="C4832" s="4">
        <v>166</v>
      </c>
      <c r="D4832" s="3">
        <v>-0.85171589999999997</v>
      </c>
      <c r="E4832" s="1">
        <v>0.89966553000000005</v>
      </c>
      <c r="F4832" s="2">
        <v>0.89277779999999995</v>
      </c>
    </row>
    <row r="4833" spans="1:6" x14ac:dyDescent="0.25">
      <c r="A4833" t="s">
        <v>6</v>
      </c>
      <c r="B4833" s="5" t="str">
        <f>HYPERLINK("http://www.broadinstitute.org/gsea/msigdb/cards/GOBP_CILIUM_ORGANIZATION.html","GOBP_CILIUM_ORGANIZATION")</f>
        <v>GOBP_CILIUM_ORGANIZATION</v>
      </c>
      <c r="C4833" s="4">
        <v>401</v>
      </c>
      <c r="D4833" s="3">
        <v>-0.85188704999999998</v>
      </c>
      <c r="E4833" s="1">
        <v>0.95475113</v>
      </c>
      <c r="F4833" s="2">
        <v>0.89289779999999996</v>
      </c>
    </row>
    <row r="4834" spans="1:6" x14ac:dyDescent="0.25">
      <c r="A4834" t="s">
        <v>6</v>
      </c>
      <c r="B4834" s="5" t="str">
        <f>HYPERLINK("http://www.broadinstitute.org/gsea/msigdb/cards/GOBP_NEGATIVE_REGULATION_OF_CHONDROCYTE_DIFFERENTIATION.html","GOBP_NEGATIVE_REGULATION_OF_CHONDROCYTE_DIFFERENTIATION")</f>
        <v>GOBP_NEGATIVE_REGULATION_OF_CHONDROCYTE_DIFFERENTIATION</v>
      </c>
      <c r="C4834" s="4">
        <v>25</v>
      </c>
      <c r="D4834" s="3">
        <v>-0.85378069999999995</v>
      </c>
      <c r="E4834" s="1">
        <v>0.68215159999999997</v>
      </c>
      <c r="F4834" s="2">
        <v>0.88935529999999996</v>
      </c>
    </row>
    <row r="4835" spans="1:6" x14ac:dyDescent="0.25">
      <c r="A4835" t="s">
        <v>6</v>
      </c>
      <c r="B4835" s="5" t="str">
        <f>HYPERLINK("http://www.broadinstitute.org/gsea/msigdb/cards/GOBP_HISTONE_MRNA_METABOLIC_PROCESS.html","GOBP_HISTONE_MRNA_METABOLIC_PROCESS")</f>
        <v>GOBP_HISTONE_MRNA_METABOLIC_PROCESS</v>
      </c>
      <c r="C4835" s="4">
        <v>20</v>
      </c>
      <c r="D4835" s="3">
        <v>-0.85386777000000003</v>
      </c>
      <c r="E4835" s="1">
        <v>0.69811319999999999</v>
      </c>
      <c r="F4835" s="2">
        <v>0.88966880000000004</v>
      </c>
    </row>
    <row r="4836" spans="1:6" x14ac:dyDescent="0.25">
      <c r="A4836" t="s">
        <v>6</v>
      </c>
      <c r="B4836" s="5" t="str">
        <f>HYPERLINK("http://www.broadinstitute.org/gsea/msigdb/cards/GOBP_GASTRULATION_WITH_MOUTH_FORMING_SECOND.html","GOBP_GASTRULATION_WITH_MOUTH_FORMING_SECOND")</f>
        <v>GOBP_GASTRULATION_WITH_MOUTH_FORMING_SECOND</v>
      </c>
      <c r="C4836" s="4">
        <v>37</v>
      </c>
      <c r="D4836" s="3">
        <v>-0.85441743999999997</v>
      </c>
      <c r="E4836" s="1">
        <v>0.70822940000000001</v>
      </c>
      <c r="F4836" s="2">
        <v>0.88897459999999995</v>
      </c>
    </row>
    <row r="4837" spans="1:6" x14ac:dyDescent="0.25">
      <c r="A4837" t="s">
        <v>10</v>
      </c>
      <c r="B4837" s="5" t="str">
        <f>HYPERLINK("http://www.broadinstitute.org/gsea/msigdb/cards/REACTOME_RECEPTOR_TYPE_TYROSINE_PROTEIN_PHOSPHATASES.html","REACTOME_RECEPTOR_TYPE_TYROSINE_PROTEIN_PHOSPHATASES")</f>
        <v>REACTOME_RECEPTOR_TYPE_TYROSINE_PROTEIN_PHOSPHATASES</v>
      </c>
      <c r="C4837" s="4">
        <v>20</v>
      </c>
      <c r="D4837" s="3">
        <v>-0.85457950000000005</v>
      </c>
      <c r="E4837" s="1">
        <v>0.70644390000000001</v>
      </c>
      <c r="F4837" s="2">
        <v>0.88908900000000002</v>
      </c>
    </row>
    <row r="4838" spans="1:6" x14ac:dyDescent="0.25">
      <c r="A4838" t="s">
        <v>6</v>
      </c>
      <c r="B4838" s="5" t="str">
        <f>HYPERLINK("http://www.broadinstitute.org/gsea/msigdb/cards/GOBP_SENSORY_PERCEPTION_OF_CHEMICAL_STIMULUS.html","GOBP_SENSORY_PERCEPTION_OF_CHEMICAL_STIMULUS")</f>
        <v>GOBP_SENSORY_PERCEPTION_OF_CHEMICAL_STIMULUS</v>
      </c>
      <c r="C4838" s="4">
        <v>285</v>
      </c>
      <c r="D4838" s="3">
        <v>-0.85581976000000004</v>
      </c>
      <c r="E4838" s="1">
        <v>0.91796875</v>
      </c>
      <c r="F4838" s="2">
        <v>0.88689333000000004</v>
      </c>
    </row>
    <row r="4839" spans="1:6" x14ac:dyDescent="0.25">
      <c r="A4839" t="s">
        <v>6</v>
      </c>
      <c r="B4839" s="5" t="str">
        <f>HYPERLINK("http://www.broadinstitute.org/gsea/msigdb/cards/GOBP_PEPTIDYL_L_CYSTEINE_S_PALMITOYLATION.html","GOBP_PEPTIDYL_L_CYSTEINE_S_PALMITOYLATION")</f>
        <v>GOBP_PEPTIDYL_L_CYSTEINE_S_PALMITOYLATION</v>
      </c>
      <c r="C4839" s="4">
        <v>21</v>
      </c>
      <c r="D4839" s="3">
        <v>-0.85586689999999999</v>
      </c>
      <c r="E4839" s="1">
        <v>0.65734269999999995</v>
      </c>
      <c r="F4839" s="2">
        <v>0.88728492999999997</v>
      </c>
    </row>
    <row r="4840" spans="1:6" x14ac:dyDescent="0.25">
      <c r="A4840" t="s">
        <v>7</v>
      </c>
      <c r="B4840" s="5" t="str">
        <f>HYPERLINK("http://www.broadinstitute.org/gsea/msigdb/cards/GOCC_CORE_MEDIATOR_COMPLEX.html","GOCC_CORE_MEDIATOR_COMPLEX")</f>
        <v>GOCC_CORE_MEDIATOR_COMPLEX</v>
      </c>
      <c r="C4840" s="4">
        <v>26</v>
      </c>
      <c r="D4840" s="3">
        <v>-0.85642313999999997</v>
      </c>
      <c r="E4840" s="1">
        <v>0.69626169999999998</v>
      </c>
      <c r="F4840" s="2">
        <v>0.88651590000000002</v>
      </c>
    </row>
    <row r="4841" spans="1:6" x14ac:dyDescent="0.25">
      <c r="A4841" t="s">
        <v>8</v>
      </c>
      <c r="B4841" s="5" t="str">
        <f>HYPERLINK("http://www.broadinstitute.org/gsea/msigdb/cards/GOMF_CHANNEL_INHIBITOR_ACTIVITY.html","GOMF_CHANNEL_INHIBITOR_ACTIVITY")</f>
        <v>GOMF_CHANNEL_INHIBITOR_ACTIVITY</v>
      </c>
      <c r="C4841" s="4">
        <v>35</v>
      </c>
      <c r="D4841" s="3">
        <v>-0.85642766999999997</v>
      </c>
      <c r="E4841" s="1">
        <v>0.70997679999999996</v>
      </c>
      <c r="F4841" s="2">
        <v>0.88699996000000003</v>
      </c>
    </row>
    <row r="4842" spans="1:6" x14ac:dyDescent="0.25">
      <c r="A4842" t="s">
        <v>6</v>
      </c>
      <c r="B4842" s="5" t="str">
        <f>HYPERLINK("http://www.broadinstitute.org/gsea/msigdb/cards/GOBP_RETINA_HOMEOSTASIS.html","GOBP_RETINA_HOMEOSTASIS")</f>
        <v>GOBP_RETINA_HOMEOSTASIS</v>
      </c>
      <c r="C4842" s="4">
        <v>59</v>
      </c>
      <c r="D4842" s="3">
        <v>-0.85687290000000005</v>
      </c>
      <c r="E4842" s="1">
        <v>0.77353689999999997</v>
      </c>
      <c r="F4842" s="2">
        <v>0.88648210000000005</v>
      </c>
    </row>
    <row r="4843" spans="1:6" x14ac:dyDescent="0.25">
      <c r="A4843" t="s">
        <v>10</v>
      </c>
      <c r="B4843" s="5" t="str">
        <f>HYPERLINK("http://www.broadinstitute.org/gsea/msigdb/cards/REACTOME_ACTIVATION_OF_ATR_IN_RESPONSE_TO_REPLICATION_STRESS.html","REACTOME_ACTIVATION_OF_ATR_IN_RESPONSE_TO_REPLICATION_STRESS")</f>
        <v>REACTOME_ACTIVATION_OF_ATR_IN_RESPONSE_TO_REPLICATION_STRESS</v>
      </c>
      <c r="C4843" s="4">
        <v>35</v>
      </c>
      <c r="D4843" s="3">
        <v>-0.85730695999999995</v>
      </c>
      <c r="E4843" s="1">
        <v>0.69362749999999995</v>
      </c>
      <c r="F4843" s="2">
        <v>0.88604079999999996</v>
      </c>
    </row>
    <row r="4844" spans="1:6" x14ac:dyDescent="0.25">
      <c r="A4844" t="s">
        <v>6</v>
      </c>
      <c r="B4844" s="5" t="str">
        <f>HYPERLINK("http://www.broadinstitute.org/gsea/msigdb/cards/GOBP_SNRNA_TRANSCRIPTION.html","GOBP_SNRNA_TRANSCRIPTION")</f>
        <v>GOBP_SNRNA_TRANSCRIPTION</v>
      </c>
      <c r="C4844" s="4">
        <v>18</v>
      </c>
      <c r="D4844" s="3">
        <v>-0.85773074999999999</v>
      </c>
      <c r="E4844" s="1">
        <v>0.65422886999999996</v>
      </c>
      <c r="F4844" s="2">
        <v>0.88559920000000003</v>
      </c>
    </row>
    <row r="4845" spans="1:6" x14ac:dyDescent="0.25">
      <c r="A4845" t="s">
        <v>6</v>
      </c>
      <c r="B4845" s="5" t="str">
        <f>HYPERLINK("http://www.broadinstitute.org/gsea/msigdb/cards/GOBP_MICROTUBULE_ORGANIZING_CENTER_LOCALIZATION.html","GOBP_MICROTUBULE_ORGANIZING_CENTER_LOCALIZATION")</f>
        <v>GOBP_MICROTUBULE_ORGANIZING_CENTER_LOCALIZATION</v>
      </c>
      <c r="C4845" s="4">
        <v>34</v>
      </c>
      <c r="D4845" s="3">
        <v>-0.85783909999999997</v>
      </c>
      <c r="E4845" s="1">
        <v>0.70676689999999998</v>
      </c>
      <c r="F4845" s="2">
        <v>0.88586069999999995</v>
      </c>
    </row>
    <row r="4846" spans="1:6" x14ac:dyDescent="0.25">
      <c r="A4846" t="s">
        <v>6</v>
      </c>
      <c r="B4846" s="5" t="str">
        <f>HYPERLINK("http://www.broadinstitute.org/gsea/msigdb/cards/GOBP_POSITIVE_REGULATION_OF_CYCLIN_DEPENDENT_PROTEIN_KINASE_ACTIVITY.html","GOBP_POSITIVE_REGULATION_OF_CYCLIN_DEPENDENT_PROTEIN_KINASE_ACTIVITY")</f>
        <v>GOBP_POSITIVE_REGULATION_OF_CYCLIN_DEPENDENT_PROTEIN_KINASE_ACTIVITY</v>
      </c>
      <c r="C4846" s="4">
        <v>24</v>
      </c>
      <c r="D4846" s="3">
        <v>-0.85808390000000001</v>
      </c>
      <c r="E4846" s="1">
        <v>0.68719213999999995</v>
      </c>
      <c r="F4846" s="2">
        <v>0.88582059999999996</v>
      </c>
    </row>
    <row r="4847" spans="1:6" x14ac:dyDescent="0.25">
      <c r="A4847" t="s">
        <v>10</v>
      </c>
      <c r="B4847" s="5" t="str">
        <f>HYPERLINK("http://www.broadinstitute.org/gsea/msigdb/cards/REACTOME_TRANSFERRIN_ENDOCYTOSIS_AND_RECYCLING.html","REACTOME_TRANSFERRIN_ENDOCYTOSIS_AND_RECYCLING")</f>
        <v>REACTOME_TRANSFERRIN_ENDOCYTOSIS_AND_RECYCLING</v>
      </c>
      <c r="C4847" s="4">
        <v>30</v>
      </c>
      <c r="D4847" s="3">
        <v>-0.85887840000000004</v>
      </c>
      <c r="E4847" s="1">
        <v>0.70229006000000005</v>
      </c>
      <c r="F4847" s="2">
        <v>0.88452299999999995</v>
      </c>
    </row>
    <row r="4848" spans="1:6" x14ac:dyDescent="0.25">
      <c r="A4848" t="s">
        <v>6</v>
      </c>
      <c r="B4848" s="5" t="str">
        <f>HYPERLINK("http://www.broadinstitute.org/gsea/msigdb/cards/GOBP_NEGATIVE_REGULATION_OF_TELOMERE_MAINTENANCE_VIA_TELOMERASE.html","GOBP_NEGATIVE_REGULATION_OF_TELOMERE_MAINTENANCE_VIA_TELOMERASE")</f>
        <v>GOBP_NEGATIVE_REGULATION_OF_TELOMERE_MAINTENANCE_VIA_TELOMERASE</v>
      </c>
      <c r="C4848" s="4">
        <v>20</v>
      </c>
      <c r="D4848" s="3">
        <v>-0.85900586999999995</v>
      </c>
      <c r="E4848" s="1">
        <v>0.65664160000000005</v>
      </c>
      <c r="F4848" s="2">
        <v>0.88473880000000005</v>
      </c>
    </row>
    <row r="4849" spans="1:6" x14ac:dyDescent="0.25">
      <c r="A4849" t="s">
        <v>6</v>
      </c>
      <c r="B4849" s="5" t="str">
        <f>HYPERLINK("http://www.broadinstitute.org/gsea/msigdb/cards/GOBP_MITOTIC_SISTER_CHROMATID_SEPARATION.html","GOBP_MITOTIC_SISTER_CHROMATID_SEPARATION")</f>
        <v>GOBP_MITOTIC_SISTER_CHROMATID_SEPARATION</v>
      </c>
      <c r="C4849" s="4">
        <v>60</v>
      </c>
      <c r="D4849" s="3">
        <v>-0.85909780000000002</v>
      </c>
      <c r="E4849" s="1">
        <v>0.73983739999999998</v>
      </c>
      <c r="F4849" s="2">
        <v>0.88502586000000005</v>
      </c>
    </row>
    <row r="4850" spans="1:6" x14ac:dyDescent="0.25">
      <c r="A4850" t="s">
        <v>10</v>
      </c>
      <c r="B4850" s="5" t="str">
        <f>HYPERLINK("http://www.broadinstitute.org/gsea/msigdb/cards/REACTOME_MITOTIC_PROPHASE.html","REACTOME_MITOTIC_PROPHASE")</f>
        <v>REACTOME_MITOTIC_PROPHASE</v>
      </c>
      <c r="C4850" s="4">
        <v>110</v>
      </c>
      <c r="D4850" s="3">
        <v>-0.85961860000000001</v>
      </c>
      <c r="E4850" s="1">
        <v>0.81305640000000001</v>
      </c>
      <c r="F4850" s="2">
        <v>0.88439909999999999</v>
      </c>
    </row>
    <row r="4851" spans="1:6" x14ac:dyDescent="0.25">
      <c r="A4851" t="s">
        <v>5</v>
      </c>
      <c r="B4851" s="5" t="str">
        <f>HYPERLINK("http://www.broadinstitute.org/gsea/msigdb/cards/BIOCARTA_G2_PATHWAY.html","BIOCARTA_G2_PATHWAY")</f>
        <v>BIOCARTA_G2_PATHWAY</v>
      </c>
      <c r="C4851" s="4">
        <v>22</v>
      </c>
      <c r="D4851" s="3">
        <v>-0.85990829999999996</v>
      </c>
      <c r="E4851" s="1">
        <v>0.67587940000000002</v>
      </c>
      <c r="F4851" s="2">
        <v>0.88426749999999998</v>
      </c>
    </row>
    <row r="4852" spans="1:6" x14ac:dyDescent="0.25">
      <c r="A4852" t="s">
        <v>6</v>
      </c>
      <c r="B4852" s="5" t="str">
        <f>HYPERLINK("http://www.broadinstitute.org/gsea/msigdb/cards/GOBP_REGULATION_OF_STEM_CELL_PROLIFERATION.html","GOBP_REGULATION_OF_STEM_CELL_PROLIFERATION")</f>
        <v>GOBP_REGULATION_OF_STEM_CELL_PROLIFERATION</v>
      </c>
      <c r="C4852" s="4">
        <v>102</v>
      </c>
      <c r="D4852" s="3">
        <v>-0.86082596</v>
      </c>
      <c r="E4852" s="1">
        <v>0.83180430000000005</v>
      </c>
      <c r="F4852" s="2">
        <v>0.8826986</v>
      </c>
    </row>
    <row r="4853" spans="1:6" x14ac:dyDescent="0.25">
      <c r="A4853" t="s">
        <v>6</v>
      </c>
      <c r="B4853" s="5" t="str">
        <f>HYPERLINK("http://www.broadinstitute.org/gsea/msigdb/cards/GOBP_REGULATION_OF_CHOLESTEROL_METABOLIC_PROCESS.html","GOBP_REGULATION_OF_CHOLESTEROL_METABOLIC_PROCESS")</f>
        <v>GOBP_REGULATION_OF_CHOLESTEROL_METABOLIC_PROCESS</v>
      </c>
      <c r="C4853" s="4">
        <v>45</v>
      </c>
      <c r="D4853" s="3">
        <v>-0.86183880000000002</v>
      </c>
      <c r="E4853" s="1">
        <v>0.69554453999999999</v>
      </c>
      <c r="F4853" s="2">
        <v>0.88093440000000001</v>
      </c>
    </row>
    <row r="4854" spans="1:6" x14ac:dyDescent="0.25">
      <c r="A4854" t="s">
        <v>6</v>
      </c>
      <c r="B4854" s="5" t="str">
        <f>HYPERLINK("http://www.broadinstitute.org/gsea/msigdb/cards/GOBP_MITOCHONDRIAL_CALCIUM_ION_HOMEOSTASIS.html","GOBP_MITOCHONDRIAL_CALCIUM_ION_HOMEOSTASIS")</f>
        <v>GOBP_MITOCHONDRIAL_CALCIUM_ION_HOMEOSTASIS</v>
      </c>
      <c r="C4854" s="4">
        <v>28</v>
      </c>
      <c r="D4854" s="3">
        <v>-0.86200874999999999</v>
      </c>
      <c r="E4854" s="1">
        <v>0.65012409999999998</v>
      </c>
      <c r="F4854" s="2">
        <v>0.88105770000000005</v>
      </c>
    </row>
    <row r="4855" spans="1:6" x14ac:dyDescent="0.25">
      <c r="A4855" t="s">
        <v>6</v>
      </c>
      <c r="B4855" s="5" t="str">
        <f>HYPERLINK("http://www.broadinstitute.org/gsea/msigdb/cards/GOBP_APOPTOTIC_PROCESS_INVOLVED_IN_DEVELOPMENT.html","GOBP_APOPTOTIC_PROCESS_INVOLVED_IN_DEVELOPMENT")</f>
        <v>GOBP_APOPTOTIC_PROCESS_INVOLVED_IN_DEVELOPMENT</v>
      </c>
      <c r="C4855" s="4">
        <v>43</v>
      </c>
      <c r="D4855" s="3">
        <v>-0.86315649999999999</v>
      </c>
      <c r="E4855" s="1">
        <v>0.71980679999999997</v>
      </c>
      <c r="F4855" s="2">
        <v>0.87898969999999998</v>
      </c>
    </row>
    <row r="4856" spans="1:6" x14ac:dyDescent="0.25">
      <c r="A4856" t="s">
        <v>6</v>
      </c>
      <c r="B4856" s="5" t="str">
        <f>HYPERLINK("http://www.broadinstitute.org/gsea/msigdb/cards/GOBP_MALE_MEIOTIC_NUCLEAR_DIVISION.html","GOBP_MALE_MEIOTIC_NUCLEAR_DIVISION")</f>
        <v>GOBP_MALE_MEIOTIC_NUCLEAR_DIVISION</v>
      </c>
      <c r="C4856" s="4">
        <v>60</v>
      </c>
      <c r="D4856" s="3">
        <v>-0.86325383</v>
      </c>
      <c r="E4856" s="1">
        <v>0.69487180000000004</v>
      </c>
      <c r="F4856" s="2">
        <v>0.87927573999999997</v>
      </c>
    </row>
    <row r="4857" spans="1:6" x14ac:dyDescent="0.25">
      <c r="A4857" t="s">
        <v>8</v>
      </c>
      <c r="B4857" s="5" t="str">
        <f>HYPERLINK("http://www.broadinstitute.org/gsea/msigdb/cards/GOMF_MICROTUBULE_BINDING.html","GOMF_MICROTUBULE_BINDING")</f>
        <v>GOMF_MICROTUBULE_BINDING</v>
      </c>
      <c r="C4857" s="4">
        <v>264</v>
      </c>
      <c r="D4857" s="3">
        <v>-0.86337019999999998</v>
      </c>
      <c r="E4857" s="1">
        <v>0.93436295000000003</v>
      </c>
      <c r="F4857" s="2">
        <v>0.87952839999999999</v>
      </c>
    </row>
    <row r="4858" spans="1:6" x14ac:dyDescent="0.25">
      <c r="A4858" t="s">
        <v>6</v>
      </c>
      <c r="B4858" s="5" t="str">
        <f>HYPERLINK("http://www.broadinstitute.org/gsea/msigdb/cards/GOBP_INNER_DYNEIN_ARM_ASSEMBLY.html","GOBP_INNER_DYNEIN_ARM_ASSEMBLY")</f>
        <v>GOBP_INNER_DYNEIN_ARM_ASSEMBLY</v>
      </c>
      <c r="C4858" s="4">
        <v>16</v>
      </c>
      <c r="D4858" s="3">
        <v>-0.86357486000000006</v>
      </c>
      <c r="E4858" s="1">
        <v>0.64827584999999999</v>
      </c>
      <c r="F4858" s="2">
        <v>0.87956880000000004</v>
      </c>
    </row>
    <row r="4859" spans="1:6" x14ac:dyDescent="0.25">
      <c r="A4859" t="s">
        <v>8</v>
      </c>
      <c r="B4859" s="5" t="str">
        <f>HYPERLINK("http://www.broadinstitute.org/gsea/msigdb/cards/GOMF_NF_KAPPAB_BINDING.html","GOMF_NF_KAPPAB_BINDING")</f>
        <v>GOMF_NF_KAPPAB_BINDING</v>
      </c>
      <c r="C4859" s="4">
        <v>34</v>
      </c>
      <c r="D4859" s="3">
        <v>-0.86376869999999994</v>
      </c>
      <c r="E4859" s="1">
        <v>0.69682149999999998</v>
      </c>
      <c r="F4859" s="2">
        <v>0.87961394000000004</v>
      </c>
    </row>
    <row r="4860" spans="1:6" x14ac:dyDescent="0.25">
      <c r="A4860" t="s">
        <v>6</v>
      </c>
      <c r="B4860" s="5" t="str">
        <f>HYPERLINK("http://www.broadinstitute.org/gsea/msigdb/cards/GOBP_REGULATION_OF_CILIUM_BEAT_FREQUENCY.html","GOBP_REGULATION_OF_CILIUM_BEAT_FREQUENCY")</f>
        <v>GOBP_REGULATION_OF_CILIUM_BEAT_FREQUENCY</v>
      </c>
      <c r="C4860" s="4">
        <v>16</v>
      </c>
      <c r="D4860" s="3">
        <v>-0.86394890000000002</v>
      </c>
      <c r="E4860" s="1">
        <v>0.65681820000000002</v>
      </c>
      <c r="F4860" s="2">
        <v>0.87970360000000003</v>
      </c>
    </row>
    <row r="4861" spans="1:6" x14ac:dyDescent="0.25">
      <c r="A4861" t="s">
        <v>8</v>
      </c>
      <c r="B4861" s="5" t="str">
        <f>HYPERLINK("http://www.broadinstitute.org/gsea/msigdb/cards/GOMF_DEMETHYLASE_ACTIVITY.html","GOMF_DEMETHYLASE_ACTIVITY")</f>
        <v>GOMF_DEMETHYLASE_ACTIVITY</v>
      </c>
      <c r="C4861" s="4">
        <v>42</v>
      </c>
      <c r="D4861" s="3">
        <v>-0.86505940000000003</v>
      </c>
      <c r="E4861" s="1">
        <v>0.72395830000000005</v>
      </c>
      <c r="F4861" s="2">
        <v>0.87765366</v>
      </c>
    </row>
    <row r="4862" spans="1:6" x14ac:dyDescent="0.25">
      <c r="A4862" t="s">
        <v>6</v>
      </c>
      <c r="B4862" s="5" t="str">
        <f>HYPERLINK("http://www.broadinstitute.org/gsea/msigdb/cards/GOBP_NEGATIVE_REGULATION_OF_FEEDING_BEHAVIOR.html","GOBP_NEGATIVE_REGULATION_OF_FEEDING_BEHAVIOR")</f>
        <v>GOBP_NEGATIVE_REGULATION_OF_FEEDING_BEHAVIOR</v>
      </c>
      <c r="C4862" s="4">
        <v>15</v>
      </c>
      <c r="D4862" s="3">
        <v>-0.8676007</v>
      </c>
      <c r="E4862" s="1">
        <v>0.63510394000000003</v>
      </c>
      <c r="F4862" s="2">
        <v>0.87233640000000001</v>
      </c>
    </row>
    <row r="4863" spans="1:6" x14ac:dyDescent="0.25">
      <c r="A4863" t="s">
        <v>6</v>
      </c>
      <c r="B4863" s="5" t="str">
        <f>HYPERLINK("http://www.broadinstitute.org/gsea/msigdb/cards/GOBP_S_ADENOSYLMETHIONINE_METABOLIC_PROCESS.html","GOBP_S_ADENOSYLMETHIONINE_METABOLIC_PROCESS")</f>
        <v>GOBP_S_ADENOSYLMETHIONINE_METABOLIC_PROCESS</v>
      </c>
      <c r="C4863" s="4">
        <v>17</v>
      </c>
      <c r="D4863" s="3">
        <v>-0.86858356000000003</v>
      </c>
      <c r="E4863" s="1">
        <v>0.64523810000000004</v>
      </c>
      <c r="F4863" s="2">
        <v>0.87053572999999995</v>
      </c>
    </row>
    <row r="4864" spans="1:6" x14ac:dyDescent="0.25">
      <c r="A4864" t="s">
        <v>6</v>
      </c>
      <c r="B4864" s="5" t="str">
        <f>HYPERLINK("http://www.broadinstitute.org/gsea/msigdb/cards/GOBP_VENTRICULAR_SEPTUM_DEVELOPMENT.html","GOBP_VENTRICULAR_SEPTUM_DEVELOPMENT")</f>
        <v>GOBP_VENTRICULAR_SEPTUM_DEVELOPMENT</v>
      </c>
      <c r="C4864" s="4">
        <v>79</v>
      </c>
      <c r="D4864" s="3">
        <v>-0.86871814999999997</v>
      </c>
      <c r="E4864" s="1">
        <v>0.76338030000000001</v>
      </c>
      <c r="F4864" s="2">
        <v>0.87071229999999999</v>
      </c>
    </row>
    <row r="4865" spans="1:6" x14ac:dyDescent="0.25">
      <c r="A4865" t="s">
        <v>6</v>
      </c>
      <c r="B4865" s="5" t="str">
        <f>HYPERLINK("http://www.broadinstitute.org/gsea/msigdb/cards/GOBP_BLASTOCYST_DEVELOPMENT.html","GOBP_BLASTOCYST_DEVELOPMENT")</f>
        <v>GOBP_BLASTOCYST_DEVELOPMENT</v>
      </c>
      <c r="C4865" s="4">
        <v>151</v>
      </c>
      <c r="D4865" s="3">
        <v>-0.86872590000000005</v>
      </c>
      <c r="E4865" s="1">
        <v>0.827044</v>
      </c>
      <c r="F4865" s="2">
        <v>0.87118899999999999</v>
      </c>
    </row>
    <row r="4866" spans="1:6" x14ac:dyDescent="0.25">
      <c r="A4866" t="s">
        <v>6</v>
      </c>
      <c r="B4866" s="5" t="str">
        <f>HYPERLINK("http://www.broadinstitute.org/gsea/msigdb/cards/GOBP_REGULATION_OF_POTASSIUM_ION_TRANSMEMBRANE_TRANSPORT.html","GOBP_REGULATION_OF_POTASSIUM_ION_TRANSMEMBRANE_TRANSPORT")</f>
        <v>GOBP_REGULATION_OF_POTASSIUM_ION_TRANSMEMBRANE_TRANSPORT</v>
      </c>
      <c r="C4866" s="4">
        <v>94</v>
      </c>
      <c r="D4866" s="3">
        <v>-0.86889296999999999</v>
      </c>
      <c r="E4866" s="1">
        <v>0.77011496000000002</v>
      </c>
      <c r="F4866" s="2">
        <v>0.87128085</v>
      </c>
    </row>
    <row r="4867" spans="1:6" x14ac:dyDescent="0.25">
      <c r="A4867" t="s">
        <v>6</v>
      </c>
      <c r="B4867" s="5" t="str">
        <f>HYPERLINK("http://www.broadinstitute.org/gsea/msigdb/cards/GOBP_MAGNESIUM_ION_HOMEOSTASIS.html","GOBP_MAGNESIUM_ION_HOMEOSTASIS")</f>
        <v>GOBP_MAGNESIUM_ION_HOMEOSTASIS</v>
      </c>
      <c r="C4867" s="4">
        <v>15</v>
      </c>
      <c r="D4867" s="3">
        <v>-0.86936234999999995</v>
      </c>
      <c r="E4867" s="1">
        <v>0.64761906999999996</v>
      </c>
      <c r="F4867" s="2">
        <v>0.87070610000000004</v>
      </c>
    </row>
    <row r="4868" spans="1:6" x14ac:dyDescent="0.25">
      <c r="A4868" t="s">
        <v>6</v>
      </c>
      <c r="B4868" s="5" t="str">
        <f>HYPERLINK("http://www.broadinstitute.org/gsea/msigdb/cards/GOBP_REGULATION_OF_RELAXATION_OF_MUSCLE.html","GOBP_REGULATION_OF_RELAXATION_OF_MUSCLE")</f>
        <v>GOBP_REGULATION_OF_RELAXATION_OF_MUSCLE</v>
      </c>
      <c r="C4868" s="4">
        <v>18</v>
      </c>
      <c r="D4868" s="3">
        <v>-0.86966169999999998</v>
      </c>
      <c r="E4868" s="1">
        <v>0.66357310000000003</v>
      </c>
      <c r="F4868" s="2">
        <v>0.87049955000000001</v>
      </c>
    </row>
    <row r="4869" spans="1:6" x14ac:dyDescent="0.25">
      <c r="A4869" t="s">
        <v>8</v>
      </c>
      <c r="B4869" s="5" t="str">
        <f>HYPERLINK("http://www.broadinstitute.org/gsea/msigdb/cards/GOMF_NEUROTRANSMITTER_TRANSMEMBRANE_TRANSPORTER_ACTIVITY.html","GOMF_NEUROTRANSMITTER_TRANSMEMBRANE_TRANSPORTER_ACTIVITY")</f>
        <v>GOMF_NEUROTRANSMITTER_TRANSMEMBRANE_TRANSPORTER_ACTIVITY</v>
      </c>
      <c r="C4869" s="4">
        <v>19</v>
      </c>
      <c r="D4869" s="3">
        <v>-0.87118099999999998</v>
      </c>
      <c r="E4869" s="1">
        <v>0.65609753000000004</v>
      </c>
      <c r="F4869" s="2">
        <v>0.86740099999999998</v>
      </c>
    </row>
    <row r="4870" spans="1:6" x14ac:dyDescent="0.25">
      <c r="A4870" t="s">
        <v>6</v>
      </c>
      <c r="B4870" s="5" t="str">
        <f>HYPERLINK("http://www.broadinstitute.org/gsea/msigdb/cards/GOBP_SPERM_FLAGELLUM_ASSEMBLY.html","GOBP_SPERM_FLAGELLUM_ASSEMBLY")</f>
        <v>GOBP_SPERM_FLAGELLUM_ASSEMBLY</v>
      </c>
      <c r="C4870" s="4">
        <v>46</v>
      </c>
      <c r="D4870" s="3">
        <v>-0.87133050000000001</v>
      </c>
      <c r="E4870" s="1">
        <v>0.69482290000000002</v>
      </c>
      <c r="F4870" s="2">
        <v>0.86752790000000002</v>
      </c>
    </row>
    <row r="4871" spans="1:6" x14ac:dyDescent="0.25">
      <c r="A4871" t="s">
        <v>8</v>
      </c>
      <c r="B4871" s="5" t="str">
        <f>HYPERLINK("http://www.broadinstitute.org/gsea/msigdb/cards/GOMF_CULLIN_FAMILY_PROTEIN_BINDING.html","GOMF_CULLIN_FAMILY_PROTEIN_BINDING")</f>
        <v>GOMF_CULLIN_FAMILY_PROTEIN_BINDING</v>
      </c>
      <c r="C4871" s="4">
        <v>25</v>
      </c>
      <c r="D4871" s="3">
        <v>-0.87147030000000003</v>
      </c>
      <c r="E4871" s="1">
        <v>0.66187050000000003</v>
      </c>
      <c r="F4871" s="2">
        <v>0.86771303</v>
      </c>
    </row>
    <row r="4872" spans="1:6" x14ac:dyDescent="0.25">
      <c r="A4872" t="s">
        <v>6</v>
      </c>
      <c r="B4872" s="5" t="str">
        <f>HYPERLINK("http://www.broadinstitute.org/gsea/msigdb/cards/GOBP_NEUROTRANSMITTER_TRANSPORT.html","GOBP_NEUROTRANSMITTER_TRANSPORT")</f>
        <v>GOBP_NEUROTRANSMITTER_TRANSPORT</v>
      </c>
      <c r="C4872" s="4">
        <v>229</v>
      </c>
      <c r="D4872" s="3">
        <v>-0.87172930000000004</v>
      </c>
      <c r="E4872" s="1">
        <v>0.91463417000000002</v>
      </c>
      <c r="F4872" s="2">
        <v>0.86763424</v>
      </c>
    </row>
    <row r="4873" spans="1:6" x14ac:dyDescent="0.25">
      <c r="A4873" t="s">
        <v>6</v>
      </c>
      <c r="B4873" s="5" t="str">
        <f>HYPERLINK("http://www.broadinstitute.org/gsea/msigdb/cards/GOBP_NEGATIVE_REGULATION_OF_DNA_RECOMBINATION.html","GOBP_NEGATIVE_REGULATION_OF_DNA_RECOMBINATION")</f>
        <v>GOBP_NEGATIVE_REGULATION_OF_DNA_RECOMBINATION</v>
      </c>
      <c r="C4873" s="4">
        <v>50</v>
      </c>
      <c r="D4873" s="3">
        <v>-0.87180959999999996</v>
      </c>
      <c r="E4873" s="1">
        <v>0.70769230000000005</v>
      </c>
      <c r="F4873" s="2">
        <v>0.86793750000000003</v>
      </c>
    </row>
    <row r="4874" spans="1:6" x14ac:dyDescent="0.25">
      <c r="A4874" t="s">
        <v>8</v>
      </c>
      <c r="B4874" s="5" t="str">
        <f>HYPERLINK("http://www.broadinstitute.org/gsea/msigdb/cards/GOMF_MYRISTOYL_COA_HYDROLASE_ACTIVITY.html","GOMF_MYRISTOYL_COA_HYDROLASE_ACTIVITY")</f>
        <v>GOMF_MYRISTOYL_COA_HYDROLASE_ACTIVITY</v>
      </c>
      <c r="C4874" s="4">
        <v>15</v>
      </c>
      <c r="D4874" s="3">
        <v>-0.87274260000000004</v>
      </c>
      <c r="E4874" s="1">
        <v>0.63963959999999997</v>
      </c>
      <c r="F4874" s="2">
        <v>0.86619173999999999</v>
      </c>
    </row>
    <row r="4875" spans="1:6" x14ac:dyDescent="0.25">
      <c r="A4875" t="s">
        <v>6</v>
      </c>
      <c r="B4875" s="5" t="str">
        <f>HYPERLINK("http://www.broadinstitute.org/gsea/msigdb/cards/GOBP_POSITIVE_REGULATION_OF_MICROTUBULE_POLYMERIZATION_OR_DEPOLYMERIZATION.html","GOBP_POSITIVE_REGULATION_OF_MICROTUBULE_POLYMERIZATION_OR_DEPOLYMERIZATION")</f>
        <v>GOBP_POSITIVE_REGULATION_OF_MICROTUBULE_POLYMERIZATION_OR_DEPOLYMERIZATION</v>
      </c>
      <c r="C4875" s="4">
        <v>35</v>
      </c>
      <c r="D4875" s="3">
        <v>-0.87318530000000005</v>
      </c>
      <c r="E4875" s="1">
        <v>0.6834171</v>
      </c>
      <c r="F4875" s="2">
        <v>0.86564969999999997</v>
      </c>
    </row>
    <row r="4876" spans="1:6" x14ac:dyDescent="0.25">
      <c r="A4876" t="s">
        <v>6</v>
      </c>
      <c r="B4876" s="5" t="str">
        <f>HYPERLINK("http://www.broadinstitute.org/gsea/msigdb/cards/GOBP_REGULATION_OF_FIBROBLAST_GROWTH_FACTOR_RECEPTOR_SIGNALING_PATHWAY.html","GOBP_REGULATION_OF_FIBROBLAST_GROWTH_FACTOR_RECEPTOR_SIGNALING_PATHWAY")</f>
        <v>GOBP_REGULATION_OF_FIBROBLAST_GROWTH_FACTOR_RECEPTOR_SIGNALING_PATHWAY</v>
      </c>
      <c r="C4876" s="4">
        <v>32</v>
      </c>
      <c r="D4876" s="3">
        <v>-0.8733455</v>
      </c>
      <c r="E4876" s="1">
        <v>0.66931220000000002</v>
      </c>
      <c r="F4876" s="2">
        <v>0.86577059999999995</v>
      </c>
    </row>
    <row r="4877" spans="1:6" x14ac:dyDescent="0.25">
      <c r="A4877" t="s">
        <v>6</v>
      </c>
      <c r="B4877" s="5" t="str">
        <f>HYPERLINK("http://www.broadinstitute.org/gsea/msigdb/cards/GOBP_VITAMIN_TRANSMEMBRANE_TRANSPORT.html","GOBP_VITAMIN_TRANSMEMBRANE_TRANSPORT")</f>
        <v>GOBP_VITAMIN_TRANSMEMBRANE_TRANSPORT</v>
      </c>
      <c r="C4877" s="4">
        <v>20</v>
      </c>
      <c r="D4877" s="3">
        <v>-0.87518406000000004</v>
      </c>
      <c r="E4877" s="1">
        <v>0.65151510000000001</v>
      </c>
      <c r="F4877" s="2">
        <v>0.86185659999999997</v>
      </c>
    </row>
    <row r="4878" spans="1:6" x14ac:dyDescent="0.25">
      <c r="A4878" t="s">
        <v>10</v>
      </c>
      <c r="B4878" s="5" t="str">
        <f>HYPERLINK("http://www.broadinstitute.org/gsea/msigdb/cards/REACTOME_TRANSLESION_SYNTHESIS_BY_POLK.html","REACTOME_TRANSLESION_SYNTHESIS_BY_POLK")</f>
        <v>REACTOME_TRANSLESION_SYNTHESIS_BY_POLK</v>
      </c>
      <c r="C4878" s="4">
        <v>16</v>
      </c>
      <c r="D4878" s="3">
        <v>-0.87549010000000005</v>
      </c>
      <c r="E4878" s="1">
        <v>0.64285713</v>
      </c>
      <c r="F4878" s="2">
        <v>0.86158959999999996</v>
      </c>
    </row>
    <row r="4879" spans="1:6" x14ac:dyDescent="0.25">
      <c r="A4879" t="s">
        <v>8</v>
      </c>
      <c r="B4879" s="5" t="str">
        <f>HYPERLINK("http://www.broadinstitute.org/gsea/msigdb/cards/GOMF_MAP_KINASE_PHOSPHATASE_ACTIVITY.html","GOMF_MAP_KINASE_PHOSPHATASE_ACTIVITY")</f>
        <v>GOMF_MAP_KINASE_PHOSPHATASE_ACTIVITY</v>
      </c>
      <c r="C4879" s="4">
        <v>17</v>
      </c>
      <c r="D4879" s="3">
        <v>-0.87588290000000002</v>
      </c>
      <c r="E4879" s="1">
        <v>0.65420560000000005</v>
      </c>
      <c r="F4879" s="2">
        <v>0.86114055</v>
      </c>
    </row>
    <row r="4880" spans="1:6" x14ac:dyDescent="0.25">
      <c r="A4880" t="s">
        <v>7</v>
      </c>
      <c r="B4880" s="5" t="str">
        <f>HYPERLINK("http://www.broadinstitute.org/gsea/msigdb/cards/GOCC_MITOCHONDRIAL_CRISTA.html","GOCC_MITOCHONDRIAL_CRISTA")</f>
        <v>GOCC_MITOCHONDRIAL_CRISTA</v>
      </c>
      <c r="C4880" s="4">
        <v>15</v>
      </c>
      <c r="D4880" s="3">
        <v>-0.87599269999999996</v>
      </c>
      <c r="E4880" s="1">
        <v>0.62979686000000001</v>
      </c>
      <c r="F4880" s="2">
        <v>0.86137383999999995</v>
      </c>
    </row>
    <row r="4881" spans="1:6" x14ac:dyDescent="0.25">
      <c r="A4881" t="s">
        <v>6</v>
      </c>
      <c r="B4881" s="5" t="str">
        <f>HYPERLINK("http://www.broadinstitute.org/gsea/msigdb/cards/GOBP_SYNAPTIC_VESICLE_MEMBRANE_ORGANIZATION.html","GOBP_SYNAPTIC_VESICLE_MEMBRANE_ORGANIZATION")</f>
        <v>GOBP_SYNAPTIC_VESICLE_MEMBRANE_ORGANIZATION</v>
      </c>
      <c r="C4881" s="4">
        <v>35</v>
      </c>
      <c r="D4881" s="3">
        <v>-0.87621515999999999</v>
      </c>
      <c r="E4881" s="1">
        <v>0.66929130000000003</v>
      </c>
      <c r="F4881" s="2">
        <v>0.86131524999999998</v>
      </c>
    </row>
    <row r="4882" spans="1:6" x14ac:dyDescent="0.25">
      <c r="A4882" t="s">
        <v>6</v>
      </c>
      <c r="B4882" s="5" t="str">
        <f>HYPERLINK("http://www.broadinstitute.org/gsea/msigdb/cards/GOBP_REGULATION_OF_REGULATORY_NCRNA_PROCESSING.html","GOBP_REGULATION_OF_REGULATORY_NCRNA_PROCESSING")</f>
        <v>GOBP_REGULATION_OF_REGULATORY_NCRNA_PROCESSING</v>
      </c>
      <c r="C4882" s="4">
        <v>18</v>
      </c>
      <c r="D4882" s="3">
        <v>-0.87696039999999997</v>
      </c>
      <c r="E4882" s="1">
        <v>0.65144230000000003</v>
      </c>
      <c r="F4882" s="2">
        <v>0.86001490000000003</v>
      </c>
    </row>
    <row r="4883" spans="1:6" x14ac:dyDescent="0.25">
      <c r="A4883" t="s">
        <v>8</v>
      </c>
      <c r="B4883" s="5" t="str">
        <f>HYPERLINK("http://www.broadinstitute.org/gsea/msigdb/cards/GOMF_PHOSPHATASE_ACTIVATOR_ACTIVITY.html","GOMF_PHOSPHATASE_ACTIVATOR_ACTIVITY")</f>
        <v>GOMF_PHOSPHATASE_ACTIVATOR_ACTIVITY</v>
      </c>
      <c r="C4883" s="4">
        <v>16</v>
      </c>
      <c r="D4883" s="3">
        <v>-0.87730399999999997</v>
      </c>
      <c r="E4883" s="1">
        <v>0.60196559999999999</v>
      </c>
      <c r="F4883" s="2">
        <v>0.85968129999999998</v>
      </c>
    </row>
    <row r="4884" spans="1:6" x14ac:dyDescent="0.25">
      <c r="A4884" t="s">
        <v>6</v>
      </c>
      <c r="B4884" s="5" t="str">
        <f>HYPERLINK("http://www.broadinstitute.org/gsea/msigdb/cards/GOBP_GERM_CELL_DEVELOPMENT.html","GOBP_GERM_CELL_DEVELOPMENT")</f>
        <v>GOBP_GERM_CELL_DEVELOPMENT</v>
      </c>
      <c r="C4884" s="4">
        <v>369</v>
      </c>
      <c r="D4884" s="3">
        <v>-0.87759010000000004</v>
      </c>
      <c r="E4884" s="1">
        <v>0.92827004000000002</v>
      </c>
      <c r="F4884" s="2">
        <v>0.85946434999999999</v>
      </c>
    </row>
    <row r="4885" spans="1:6" x14ac:dyDescent="0.25">
      <c r="A4885" t="s">
        <v>10</v>
      </c>
      <c r="B4885" s="5" t="str">
        <f>HYPERLINK("http://www.broadinstitute.org/gsea/msigdb/cards/REACTOME_TELOMERE_C_STRAND_LAGGING_STRAND_SYNTHESIS.html","REACTOME_TELOMERE_C_STRAND_LAGGING_STRAND_SYNTHESIS")</f>
        <v>REACTOME_TELOMERE_C_STRAND_LAGGING_STRAND_SYNTHESIS</v>
      </c>
      <c r="C4885" s="4">
        <v>32</v>
      </c>
      <c r="D4885" s="3">
        <v>-0.87795705000000002</v>
      </c>
      <c r="E4885" s="1">
        <v>0.65591394999999997</v>
      </c>
      <c r="F4885" s="2">
        <v>0.85911439999999994</v>
      </c>
    </row>
    <row r="4886" spans="1:6" x14ac:dyDescent="0.25">
      <c r="A4886" t="s">
        <v>6</v>
      </c>
      <c r="B4886" s="5" t="str">
        <f>HYPERLINK("http://www.broadinstitute.org/gsea/msigdb/cards/GOBP_NEGATIVE_REGULATION_OF_CELL_CYCLE_G1_S_PHASE_TRANSITION.html","GOBP_NEGATIVE_REGULATION_OF_CELL_CYCLE_G1_S_PHASE_TRANSITION")</f>
        <v>GOBP_NEGATIVE_REGULATION_OF_CELL_CYCLE_G1_S_PHASE_TRANSITION</v>
      </c>
      <c r="C4886" s="4">
        <v>71</v>
      </c>
      <c r="D4886" s="3">
        <v>-0.87869719999999996</v>
      </c>
      <c r="E4886" s="1">
        <v>0.73699420000000004</v>
      </c>
      <c r="F4886" s="2">
        <v>0.85782720000000001</v>
      </c>
    </row>
    <row r="4887" spans="1:6" x14ac:dyDescent="0.25">
      <c r="A4887" t="s">
        <v>6</v>
      </c>
      <c r="B4887" s="5" t="str">
        <f>HYPERLINK("http://www.broadinstitute.org/gsea/msigdb/cards/GOBP_CORONARY_VASCULATURE_MORPHOGENESIS.html","GOBP_CORONARY_VASCULATURE_MORPHOGENESIS")</f>
        <v>GOBP_CORONARY_VASCULATURE_MORPHOGENESIS</v>
      </c>
      <c r="C4887" s="4">
        <v>31</v>
      </c>
      <c r="D4887" s="3">
        <v>-0.87926800000000005</v>
      </c>
      <c r="E4887" s="1">
        <v>0.66743649999999999</v>
      </c>
      <c r="F4887" s="2">
        <v>0.85692440000000003</v>
      </c>
    </row>
    <row r="4888" spans="1:6" x14ac:dyDescent="0.25">
      <c r="A4888" t="s">
        <v>6</v>
      </c>
      <c r="B4888" s="5" t="str">
        <f>HYPERLINK("http://www.broadinstitute.org/gsea/msigdb/cards/GOBP_HAIR_CELL_DIFFERENTIATION.html","GOBP_HAIR_CELL_DIFFERENTIATION")</f>
        <v>GOBP_HAIR_CELL_DIFFERENTIATION</v>
      </c>
      <c r="C4888" s="4">
        <v>67</v>
      </c>
      <c r="D4888" s="3">
        <v>-0.87946069999999998</v>
      </c>
      <c r="E4888" s="1">
        <v>0.70914124999999995</v>
      </c>
      <c r="F4888" s="2">
        <v>0.85693759999999997</v>
      </c>
    </row>
    <row r="4889" spans="1:6" x14ac:dyDescent="0.25">
      <c r="A4889" t="s">
        <v>10</v>
      </c>
      <c r="B4889" s="5" t="str">
        <f>HYPERLINK("http://www.broadinstitute.org/gsea/msigdb/cards/REACTOME_NEUREXINS_AND_NEUROLIGINS.html","REACTOME_NEUREXINS_AND_NEUROLIGINS")</f>
        <v>REACTOME_NEUREXINS_AND_NEUROLIGINS</v>
      </c>
      <c r="C4889" s="4">
        <v>31</v>
      </c>
      <c r="D4889" s="3">
        <v>-0.88022005999999997</v>
      </c>
      <c r="E4889" s="1">
        <v>0.66423357000000005</v>
      </c>
      <c r="F4889" s="2">
        <v>0.85559169999999996</v>
      </c>
    </row>
    <row r="4890" spans="1:6" x14ac:dyDescent="0.25">
      <c r="A4890" t="s">
        <v>8</v>
      </c>
      <c r="B4890" s="5" t="str">
        <f>HYPERLINK("http://www.broadinstitute.org/gsea/msigdb/cards/GOMF_UBIQUITIN_LIKE_PROTEIN_PEPTIDASE_ACTIVITY.html","GOMF_UBIQUITIN_LIKE_PROTEIN_PEPTIDASE_ACTIVITY")</f>
        <v>GOMF_UBIQUITIN_LIKE_PROTEIN_PEPTIDASE_ACTIVITY</v>
      </c>
      <c r="C4890" s="4">
        <v>101</v>
      </c>
      <c r="D4890" s="3">
        <v>-0.88024055999999995</v>
      </c>
      <c r="E4890" s="1">
        <v>0.75964390000000004</v>
      </c>
      <c r="F4890" s="2">
        <v>0.85603887000000001</v>
      </c>
    </row>
    <row r="4891" spans="1:6" x14ac:dyDescent="0.25">
      <c r="A4891" t="s">
        <v>6</v>
      </c>
      <c r="B4891" s="5" t="str">
        <f>HYPERLINK("http://www.broadinstitute.org/gsea/msigdb/cards/GOBP_ESTABLISHMENT_OF_EPITHELIAL_CELL_APICAL_BASAL_POLARITY.html","GOBP_ESTABLISHMENT_OF_EPITHELIAL_CELL_APICAL_BASAL_POLARITY")</f>
        <v>GOBP_ESTABLISHMENT_OF_EPITHELIAL_CELL_APICAL_BASAL_POLARITY</v>
      </c>
      <c r="C4891" s="4">
        <v>19</v>
      </c>
      <c r="D4891" s="3">
        <v>-0.88128079999999998</v>
      </c>
      <c r="E4891" s="1">
        <v>0.64508390000000004</v>
      </c>
      <c r="F4891" s="2">
        <v>0.8539871</v>
      </c>
    </row>
    <row r="4892" spans="1:6" x14ac:dyDescent="0.25">
      <c r="A4892" t="s">
        <v>6</v>
      </c>
      <c r="B4892" s="5" t="str">
        <f>HYPERLINK("http://www.broadinstitute.org/gsea/msigdb/cards/GOBP_POTASSIUM_ION_HOMEOSTASIS.html","GOBP_POTASSIUM_ION_HOMEOSTASIS")</f>
        <v>GOBP_POTASSIUM_ION_HOMEOSTASIS</v>
      </c>
      <c r="C4892" s="4">
        <v>33</v>
      </c>
      <c r="D4892" s="3">
        <v>-0.88141829999999999</v>
      </c>
      <c r="E4892" s="1">
        <v>0.67487686999999996</v>
      </c>
      <c r="F4892" s="2">
        <v>0.85414814999999999</v>
      </c>
    </row>
    <row r="4893" spans="1:6" x14ac:dyDescent="0.25">
      <c r="A4893" t="s">
        <v>6</v>
      </c>
      <c r="B4893" s="5" t="str">
        <f>HYPERLINK("http://www.broadinstitute.org/gsea/msigdb/cards/GOBP_REGULATION_OF_ODONTOGENESIS.html","GOBP_REGULATION_OF_ODONTOGENESIS")</f>
        <v>GOBP_REGULATION_OF_ODONTOGENESIS</v>
      </c>
      <c r="C4893" s="4">
        <v>22</v>
      </c>
      <c r="D4893" s="3">
        <v>-0.88215566000000001</v>
      </c>
      <c r="E4893" s="1">
        <v>0.64516130000000005</v>
      </c>
      <c r="F4893" s="2">
        <v>0.85284839999999995</v>
      </c>
    </row>
    <row r="4894" spans="1:6" x14ac:dyDescent="0.25">
      <c r="A4894" t="s">
        <v>6</v>
      </c>
      <c r="B4894" s="5" t="str">
        <f>HYPERLINK("http://www.broadinstitute.org/gsea/msigdb/cards/GOBP_POSITIVE_REGULATION_OF_INTRACELLULAR_STEROID_HORMONE_RECEPTOR_SIGNALING_PATHWAY.html","GOBP_POSITIVE_REGULATION_OF_INTRACELLULAR_STEROID_HORMONE_RECEPTOR_SIGNALING_PATHWAY")</f>
        <v>GOBP_POSITIVE_REGULATION_OF_INTRACELLULAR_STEROID_HORMONE_RECEPTOR_SIGNALING_PATHWAY</v>
      </c>
      <c r="C4894" s="4">
        <v>19</v>
      </c>
      <c r="D4894" s="3">
        <v>-0.88253079999999995</v>
      </c>
      <c r="E4894" s="1">
        <v>0.63038545999999995</v>
      </c>
      <c r="F4894" s="2">
        <v>0.85240879999999997</v>
      </c>
    </row>
    <row r="4895" spans="1:6" x14ac:dyDescent="0.25">
      <c r="A4895" t="s">
        <v>8</v>
      </c>
      <c r="B4895" s="5" t="str">
        <f>HYPERLINK("http://www.broadinstitute.org/gsea/msigdb/cards/GOMF_CALCIUM_ACTIVATED_CATION_CHANNEL_ACTIVITY.html","GOMF_CALCIUM_ACTIVATED_CATION_CHANNEL_ACTIVITY")</f>
        <v>GOMF_CALCIUM_ACTIVATED_CATION_CHANNEL_ACTIVITY</v>
      </c>
      <c r="C4895" s="4">
        <v>23</v>
      </c>
      <c r="D4895" s="3">
        <v>-0.88256763999999999</v>
      </c>
      <c r="E4895" s="1">
        <v>0.62404090000000001</v>
      </c>
      <c r="F4895" s="2">
        <v>0.85281890000000005</v>
      </c>
    </row>
    <row r="4896" spans="1:6" x14ac:dyDescent="0.25">
      <c r="A4896" t="s">
        <v>6</v>
      </c>
      <c r="B4896" s="5" t="str">
        <f>HYPERLINK("http://www.broadinstitute.org/gsea/msigdb/cards/GOBP_SPERM_MOTILITY.html","GOBP_SPERM_MOTILITY")</f>
        <v>GOBP_SPERM_MOTILITY</v>
      </c>
      <c r="C4896" s="4">
        <v>150</v>
      </c>
      <c r="D4896" s="3">
        <v>-0.88296169999999996</v>
      </c>
      <c r="E4896" s="1">
        <v>0.82051282999999997</v>
      </c>
      <c r="F4896" s="2">
        <v>0.85234580000000004</v>
      </c>
    </row>
    <row r="4897" spans="1:6" x14ac:dyDescent="0.25">
      <c r="A4897" t="s">
        <v>6</v>
      </c>
      <c r="B4897" s="5" t="str">
        <f>HYPERLINK("http://www.broadinstitute.org/gsea/msigdb/cards/GOBP_METANEPHRIC_EPITHELIUM_DEVELOPMENT.html","GOBP_METANEPHRIC_EPITHELIUM_DEVELOPMENT")</f>
        <v>GOBP_METANEPHRIC_EPITHELIUM_DEVELOPMENT</v>
      </c>
      <c r="C4897" s="4">
        <v>24</v>
      </c>
      <c r="D4897" s="3">
        <v>-0.88306830000000003</v>
      </c>
      <c r="E4897" s="1">
        <v>0.64593303000000002</v>
      </c>
      <c r="F4897" s="2">
        <v>0.85256980000000004</v>
      </c>
    </row>
    <row r="4898" spans="1:6" x14ac:dyDescent="0.25">
      <c r="A4898" t="s">
        <v>8</v>
      </c>
      <c r="B4898" s="5" t="str">
        <f>HYPERLINK("http://www.broadinstitute.org/gsea/msigdb/cards/GOMF_ATPASE_ACTIVATOR_ACTIVITY.html","GOMF_ATPASE_ACTIVATOR_ACTIVITY")</f>
        <v>GOMF_ATPASE_ACTIVATOR_ACTIVITY</v>
      </c>
      <c r="C4898" s="4">
        <v>26</v>
      </c>
      <c r="D4898" s="3">
        <v>-0.88374554999999999</v>
      </c>
      <c r="E4898" s="1">
        <v>0.64523810000000004</v>
      </c>
      <c r="F4898" s="2">
        <v>0.85139054000000003</v>
      </c>
    </row>
    <row r="4899" spans="1:6" x14ac:dyDescent="0.25">
      <c r="A4899" t="s">
        <v>8</v>
      </c>
      <c r="B4899" s="5" t="str">
        <f>HYPERLINK("http://www.broadinstitute.org/gsea/msigdb/cards/GOMF_LYSOPHOSPHATIDIC_ACID_ACYLTRANSFERASE_ACTIVITY.html","GOMF_LYSOPHOSPHATIDIC_ACID_ACYLTRANSFERASE_ACTIVITY")</f>
        <v>GOMF_LYSOPHOSPHATIDIC_ACID_ACYLTRANSFERASE_ACTIVITY</v>
      </c>
      <c r="C4899" s="4">
        <v>15</v>
      </c>
      <c r="D4899" s="3">
        <v>-0.88397585999999995</v>
      </c>
      <c r="E4899" s="1">
        <v>0.62844040000000001</v>
      </c>
      <c r="F4899" s="2">
        <v>0.85127609999999998</v>
      </c>
    </row>
    <row r="4900" spans="1:6" x14ac:dyDescent="0.25">
      <c r="A4900" t="s">
        <v>6</v>
      </c>
      <c r="B4900" s="5" t="str">
        <f>HYPERLINK("http://www.broadinstitute.org/gsea/msigdb/cards/GOBP_RETICULOPHAGY.html","GOBP_RETICULOPHAGY")</f>
        <v>GOBP_RETICULOPHAGY</v>
      </c>
      <c r="C4900" s="4">
        <v>18</v>
      </c>
      <c r="D4900" s="3">
        <v>-0.88403310000000002</v>
      </c>
      <c r="E4900" s="1">
        <v>0.60091746000000001</v>
      </c>
      <c r="F4900" s="2">
        <v>0.85163</v>
      </c>
    </row>
    <row r="4901" spans="1:6" x14ac:dyDescent="0.25">
      <c r="A4901" t="s">
        <v>6</v>
      </c>
      <c r="B4901" s="5" t="str">
        <f>HYPERLINK("http://www.broadinstitute.org/gsea/msigdb/cards/GOBP_MEIOTIC_SPINDLE_ORGANIZATION.html","GOBP_MEIOTIC_SPINDLE_ORGANIZATION")</f>
        <v>GOBP_MEIOTIC_SPINDLE_ORGANIZATION</v>
      </c>
      <c r="C4901" s="4">
        <v>22</v>
      </c>
      <c r="D4901" s="3">
        <v>-0.88437010000000005</v>
      </c>
      <c r="E4901" s="1">
        <v>0.65023476000000002</v>
      </c>
      <c r="F4901" s="2">
        <v>0.85126829999999998</v>
      </c>
    </row>
    <row r="4902" spans="1:6" x14ac:dyDescent="0.25">
      <c r="A4902" t="s">
        <v>6</v>
      </c>
      <c r="B4902" s="5" t="str">
        <f>HYPERLINK("http://www.broadinstitute.org/gsea/msigdb/cards/GOBP_REGULATION_OF_MEIOTIC_CELL_CYCLE.html","GOBP_REGULATION_OF_MEIOTIC_CELL_CYCLE")</f>
        <v>GOBP_REGULATION_OF_MEIOTIC_CELL_CYCLE</v>
      </c>
      <c r="C4902" s="4">
        <v>58</v>
      </c>
      <c r="D4902" s="3">
        <v>-0.88483392999999999</v>
      </c>
      <c r="E4902" s="1">
        <v>0.70655270000000003</v>
      </c>
      <c r="F4902" s="2">
        <v>0.85061973000000002</v>
      </c>
    </row>
    <row r="4903" spans="1:6" x14ac:dyDescent="0.25">
      <c r="A4903" t="s">
        <v>7</v>
      </c>
      <c r="B4903" s="5" t="str">
        <f>HYPERLINK("http://www.broadinstitute.org/gsea/msigdb/cards/GOCC_CULLIN_RING_UBIQUITIN_LIGASE_COMPLEX.html","GOCC_CULLIN_RING_UBIQUITIN_LIGASE_COMPLEX")</f>
        <v>GOCC_CULLIN_RING_UBIQUITIN_LIGASE_COMPLEX</v>
      </c>
      <c r="C4903" s="4">
        <v>182</v>
      </c>
      <c r="D4903" s="3">
        <v>-0.88494980000000001</v>
      </c>
      <c r="E4903" s="1">
        <v>0.81418919999999995</v>
      </c>
      <c r="F4903" s="2">
        <v>0.85082303999999997</v>
      </c>
    </row>
    <row r="4904" spans="1:6" x14ac:dyDescent="0.25">
      <c r="A4904" t="s">
        <v>6</v>
      </c>
      <c r="B4904" s="5" t="str">
        <f>HYPERLINK("http://www.broadinstitute.org/gsea/msigdb/cards/GOBP_REGULATION_OF_RIG_I_SIGNALING_PATHWAY.html","GOBP_REGULATION_OF_RIG_I_SIGNALING_PATHWAY")</f>
        <v>GOBP_REGULATION_OF_RIG_I_SIGNALING_PATHWAY</v>
      </c>
      <c r="C4904" s="4">
        <v>18</v>
      </c>
      <c r="D4904" s="3">
        <v>-0.88503679999999996</v>
      </c>
      <c r="E4904" s="1">
        <v>0.63386726000000004</v>
      </c>
      <c r="F4904" s="2">
        <v>0.85111159999999997</v>
      </c>
    </row>
    <row r="4905" spans="1:6" x14ac:dyDescent="0.25">
      <c r="A4905" t="s">
        <v>6</v>
      </c>
      <c r="B4905" s="5" t="str">
        <f>HYPERLINK("http://www.broadinstitute.org/gsea/msigdb/cards/GOBP_AROMATIC_AMINO_ACID_METABOLIC_PROCESS.html","GOBP_AROMATIC_AMINO_ACID_METABOLIC_PROCESS")</f>
        <v>GOBP_AROMATIC_AMINO_ACID_METABOLIC_PROCESS</v>
      </c>
      <c r="C4905" s="4">
        <v>31</v>
      </c>
      <c r="D4905" s="3">
        <v>-0.88532436000000003</v>
      </c>
      <c r="E4905" s="1">
        <v>0.62784810000000002</v>
      </c>
      <c r="F4905" s="2">
        <v>0.85086910000000004</v>
      </c>
    </row>
    <row r="4906" spans="1:6" x14ac:dyDescent="0.25">
      <c r="A4906" t="s">
        <v>6</v>
      </c>
      <c r="B4906" s="5" t="str">
        <f>HYPERLINK("http://www.broadinstitute.org/gsea/msigdb/cards/GOBP_HETEROCHROMATIN_ORGANIZATION.html","GOBP_HETEROCHROMATIN_ORGANIZATION")</f>
        <v>GOBP_HETEROCHROMATIN_ORGANIZATION</v>
      </c>
      <c r="C4906" s="4">
        <v>95</v>
      </c>
      <c r="D4906" s="3">
        <v>-0.88572770000000001</v>
      </c>
      <c r="E4906" s="1">
        <v>0.73446330000000004</v>
      </c>
      <c r="F4906" s="2">
        <v>0.85035110000000003</v>
      </c>
    </row>
    <row r="4907" spans="1:6" x14ac:dyDescent="0.25">
      <c r="A4907" t="s">
        <v>6</v>
      </c>
      <c r="B4907" s="5" t="str">
        <f>HYPERLINK("http://www.broadinstitute.org/gsea/msigdb/cards/GOBP_STORE_OPERATED_CALCIUM_ENTRY.html","GOBP_STORE_OPERATED_CALCIUM_ENTRY")</f>
        <v>GOBP_STORE_OPERATED_CALCIUM_ENTRY</v>
      </c>
      <c r="C4907" s="4">
        <v>26</v>
      </c>
      <c r="D4907" s="3">
        <v>-0.88594200000000001</v>
      </c>
      <c r="E4907" s="1">
        <v>0.65048545999999996</v>
      </c>
      <c r="F4907" s="2">
        <v>0.85032319999999995</v>
      </c>
    </row>
    <row r="4908" spans="1:6" x14ac:dyDescent="0.25">
      <c r="A4908" t="s">
        <v>6</v>
      </c>
      <c r="B4908" s="5" t="str">
        <f>HYPERLINK("http://www.broadinstitute.org/gsea/msigdb/cards/GOBP_REGULATION_OF_NEUROBLAST_PROLIFERATION.html","GOBP_REGULATION_OF_NEUROBLAST_PROLIFERATION")</f>
        <v>GOBP_REGULATION_OF_NEUROBLAST_PROLIFERATION</v>
      </c>
      <c r="C4908" s="4">
        <v>64</v>
      </c>
      <c r="D4908" s="3">
        <v>-0.88605590000000001</v>
      </c>
      <c r="E4908" s="1">
        <v>0.72513090000000002</v>
      </c>
      <c r="F4908" s="2">
        <v>0.85054534999999998</v>
      </c>
    </row>
    <row r="4909" spans="1:6" x14ac:dyDescent="0.25">
      <c r="A4909" t="s">
        <v>6</v>
      </c>
      <c r="B4909" s="5" t="str">
        <f>HYPERLINK("http://www.broadinstitute.org/gsea/msigdb/cards/GOBP_DEVELOPMENT_OF_PRIMARY_MALE_SEXUAL_CHARACTERISTICS.html","GOBP_DEVELOPMENT_OF_PRIMARY_MALE_SEXUAL_CHARACTERISTICS")</f>
        <v>GOBP_DEVELOPMENT_OF_PRIMARY_MALE_SEXUAL_CHARACTERISTICS</v>
      </c>
      <c r="C4909" s="4">
        <v>130</v>
      </c>
      <c r="D4909" s="3">
        <v>-0.88617783999999999</v>
      </c>
      <c r="E4909" s="1">
        <v>0.79464287</v>
      </c>
      <c r="F4909" s="2">
        <v>0.85075694000000002</v>
      </c>
    </row>
    <row r="4910" spans="1:6" x14ac:dyDescent="0.25">
      <c r="A4910" t="s">
        <v>6</v>
      </c>
      <c r="B4910" s="5" t="str">
        <f>HYPERLINK("http://www.broadinstitute.org/gsea/msigdb/cards/GOBP_NEGATIVE_REGULATION_OF_RNA_CATABOLIC_PROCESS.html","GOBP_NEGATIVE_REGULATION_OF_RNA_CATABOLIC_PROCESS")</f>
        <v>GOBP_NEGATIVE_REGULATION_OF_RNA_CATABOLIC_PROCESS</v>
      </c>
      <c r="C4910" s="4">
        <v>84</v>
      </c>
      <c r="D4910" s="3">
        <v>-0.88689839999999998</v>
      </c>
      <c r="E4910" s="1">
        <v>0.72702699999999998</v>
      </c>
      <c r="F4910" s="2">
        <v>0.84937876000000001</v>
      </c>
    </row>
    <row r="4911" spans="1:6" x14ac:dyDescent="0.25">
      <c r="A4911" t="s">
        <v>6</v>
      </c>
      <c r="B4911" s="5" t="str">
        <f>HYPERLINK("http://www.broadinstitute.org/gsea/msigdb/cards/GOBP_COPULATION.html","GOBP_COPULATION")</f>
        <v>GOBP_COPULATION</v>
      </c>
      <c r="C4911" s="4">
        <v>21</v>
      </c>
      <c r="D4911" s="3">
        <v>-0.88732060000000001</v>
      </c>
      <c r="E4911" s="1">
        <v>0.61985475000000001</v>
      </c>
      <c r="F4911" s="2">
        <v>0.84881616000000004</v>
      </c>
    </row>
    <row r="4912" spans="1:6" x14ac:dyDescent="0.25">
      <c r="A4912" t="s">
        <v>6</v>
      </c>
      <c r="B4912" s="5" t="str">
        <f>HYPERLINK("http://www.broadinstitute.org/gsea/msigdb/cards/GOBP_MAMMARY_GLAND_MORPHOGENESIS.html","GOBP_MAMMARY_GLAND_MORPHOGENESIS")</f>
        <v>GOBP_MAMMARY_GLAND_MORPHOGENESIS</v>
      </c>
      <c r="C4912" s="4">
        <v>60</v>
      </c>
      <c r="D4912" s="3">
        <v>-0.88776403999999998</v>
      </c>
      <c r="E4912" s="1">
        <v>0.68010753000000002</v>
      </c>
      <c r="F4912" s="2">
        <v>0.84822710000000001</v>
      </c>
    </row>
    <row r="4913" spans="1:6" x14ac:dyDescent="0.25">
      <c r="A4913" t="s">
        <v>10</v>
      </c>
      <c r="B4913" s="5" t="str">
        <f>HYPERLINK("http://www.broadinstitute.org/gsea/msigdb/cards/REACTOME_NOREPINEPHRINE_NEUROTRANSMITTER_RELEASE_CYCLE.html","REACTOME_NOREPINEPHRINE_NEUROTRANSMITTER_RELEASE_CYCLE")</f>
        <v>REACTOME_NOREPINEPHRINE_NEUROTRANSMITTER_RELEASE_CYCLE</v>
      </c>
      <c r="C4913" s="4">
        <v>18</v>
      </c>
      <c r="D4913" s="3">
        <v>-0.88806987000000004</v>
      </c>
      <c r="E4913" s="1">
        <v>0.63746959999999997</v>
      </c>
      <c r="F4913" s="2">
        <v>0.84799634999999995</v>
      </c>
    </row>
    <row r="4914" spans="1:6" x14ac:dyDescent="0.25">
      <c r="A4914" t="s">
        <v>6</v>
      </c>
      <c r="B4914" s="5" t="str">
        <f>HYPERLINK("http://www.broadinstitute.org/gsea/msigdb/cards/GOBP_POSITIVE_REGULATION_OF_TELOMERE_MAINTENANCE.html","GOBP_POSITIVE_REGULATION_OF_TELOMERE_MAINTENANCE")</f>
        <v>GOBP_POSITIVE_REGULATION_OF_TELOMERE_MAINTENANCE</v>
      </c>
      <c r="C4914" s="4">
        <v>69</v>
      </c>
      <c r="D4914" s="3">
        <v>-0.88815736999999995</v>
      </c>
      <c r="E4914" s="1">
        <v>0.68021679999999995</v>
      </c>
      <c r="F4914" s="2">
        <v>0.84825790000000001</v>
      </c>
    </row>
    <row r="4915" spans="1:6" x14ac:dyDescent="0.25">
      <c r="A4915" t="s">
        <v>10</v>
      </c>
      <c r="B4915" s="5" t="str">
        <f>HYPERLINK("http://www.broadinstitute.org/gsea/msigdb/cards/REACTOME_AMINO_ACIDS_REGULATE_MTORC1.html","REACTOME_AMINO_ACIDS_REGULATE_MTORC1")</f>
        <v>REACTOME_AMINO_ACIDS_REGULATE_MTORC1</v>
      </c>
      <c r="C4915" s="4">
        <v>54</v>
      </c>
      <c r="D4915" s="3">
        <v>-0.88921430000000001</v>
      </c>
      <c r="E4915" s="1">
        <v>0.69354839999999995</v>
      </c>
      <c r="F4915" s="2">
        <v>0.84612379999999998</v>
      </c>
    </row>
    <row r="4916" spans="1:6" x14ac:dyDescent="0.25">
      <c r="A4916" t="s">
        <v>6</v>
      </c>
      <c r="B4916" s="5" t="str">
        <f>HYPERLINK("http://www.broadinstitute.org/gsea/msigdb/cards/GOBP_CELLULAR_RESPONSE_TO_ESTROGEN_STIMULUS.html","GOBP_CELLULAR_RESPONSE_TO_ESTROGEN_STIMULUS")</f>
        <v>GOBP_CELLULAR_RESPONSE_TO_ESTROGEN_STIMULUS</v>
      </c>
      <c r="C4916" s="4">
        <v>17</v>
      </c>
      <c r="D4916" s="3">
        <v>-0.88921505000000001</v>
      </c>
      <c r="E4916" s="1">
        <v>0.60187349999999995</v>
      </c>
      <c r="F4916" s="2">
        <v>0.84661823999999997</v>
      </c>
    </row>
    <row r="4917" spans="1:6" x14ac:dyDescent="0.25">
      <c r="A4917" t="s">
        <v>6</v>
      </c>
      <c r="B4917" s="5" t="str">
        <f>HYPERLINK("http://www.broadinstitute.org/gsea/msigdb/cards/GOBP_FOREBRAIN_NEURON_DIFFERENTIATION.html","GOBP_FOREBRAIN_NEURON_DIFFERENTIATION")</f>
        <v>GOBP_FOREBRAIN_NEURON_DIFFERENTIATION</v>
      </c>
      <c r="C4917" s="4">
        <v>53</v>
      </c>
      <c r="D4917" s="3">
        <v>-0.88940180000000002</v>
      </c>
      <c r="E4917" s="1">
        <v>0.68475454999999996</v>
      </c>
      <c r="F4917" s="2">
        <v>0.84662413999999997</v>
      </c>
    </row>
    <row r="4918" spans="1:6" x14ac:dyDescent="0.25">
      <c r="A4918" t="s">
        <v>8</v>
      </c>
      <c r="B4918" s="5" t="str">
        <f>HYPERLINK("http://www.broadinstitute.org/gsea/msigdb/cards/GOMF_MODIFIED_AMINO_ACID_TRANSMEMBRANE_TRANSPORTER_ACTIVITY.html","GOMF_MODIFIED_AMINO_ACID_TRANSMEMBRANE_TRANSPORTER_ACTIVITY")</f>
        <v>GOMF_MODIFIED_AMINO_ACID_TRANSMEMBRANE_TRANSPORTER_ACTIVITY</v>
      </c>
      <c r="C4918" s="4">
        <v>37</v>
      </c>
      <c r="D4918" s="3">
        <v>-0.88955927000000001</v>
      </c>
      <c r="E4918" s="1">
        <v>0.66089109999999995</v>
      </c>
      <c r="F4918" s="2">
        <v>0.84672990000000004</v>
      </c>
    </row>
    <row r="4919" spans="1:6" x14ac:dyDescent="0.25">
      <c r="A4919" t="s">
        <v>7</v>
      </c>
      <c r="B4919" s="5" t="str">
        <f>HYPERLINK("http://www.broadinstitute.org/gsea/msigdb/cards/GOCC_CILIARY_TRANSITION_ZONE.html","GOCC_CILIARY_TRANSITION_ZONE")</f>
        <v>GOCC_CILIARY_TRANSITION_ZONE</v>
      </c>
      <c r="C4919" s="4">
        <v>76</v>
      </c>
      <c r="D4919" s="3">
        <v>-0.8899437</v>
      </c>
      <c r="E4919" s="1">
        <v>0.69647694000000004</v>
      </c>
      <c r="F4919" s="2">
        <v>0.84630850000000002</v>
      </c>
    </row>
    <row r="4920" spans="1:6" x14ac:dyDescent="0.25">
      <c r="A4920" t="s">
        <v>8</v>
      </c>
      <c r="B4920" s="5" t="str">
        <f>HYPERLINK("http://www.broadinstitute.org/gsea/msigdb/cards/GOMF_CYTOSKELETAL_MOTOR_ACTIVITY.html","GOMF_CYTOSKELETAL_MOTOR_ACTIVITY")</f>
        <v>GOMF_CYTOSKELETAL_MOTOR_ACTIVITY</v>
      </c>
      <c r="C4920" s="4">
        <v>110</v>
      </c>
      <c r="D4920" s="3">
        <v>-0.89014362999999996</v>
      </c>
      <c r="E4920" s="1">
        <v>0.76100630000000002</v>
      </c>
      <c r="F4920" s="2">
        <v>0.84629639999999995</v>
      </c>
    </row>
    <row r="4921" spans="1:6" x14ac:dyDescent="0.25">
      <c r="A4921" t="s">
        <v>6</v>
      </c>
      <c r="B4921" s="5" t="str">
        <f>HYPERLINK("http://www.broadinstitute.org/gsea/msigdb/cards/GOBP_CELLULAR_RESPONSE_TO_CALCIUM_ION.html","GOBP_CELLULAR_RESPONSE_TO_CALCIUM_ION")</f>
        <v>GOBP_CELLULAR_RESPONSE_TO_CALCIUM_ION</v>
      </c>
      <c r="C4921" s="4">
        <v>90</v>
      </c>
      <c r="D4921" s="3">
        <v>-0.89051769999999997</v>
      </c>
      <c r="E4921" s="1">
        <v>0.71808510000000003</v>
      </c>
      <c r="F4921" s="2">
        <v>0.84579915000000006</v>
      </c>
    </row>
    <row r="4922" spans="1:6" x14ac:dyDescent="0.25">
      <c r="A4922" t="s">
        <v>6</v>
      </c>
      <c r="B4922" s="5" t="str">
        <f>HYPERLINK("http://www.broadinstitute.org/gsea/msigdb/cards/GOBP_GAMMA_AMINOBUTYRIC_ACID_TRANSPORT.html","GOBP_GAMMA_AMINOBUTYRIC_ACID_TRANSPORT")</f>
        <v>GOBP_GAMMA_AMINOBUTYRIC_ACID_TRANSPORT</v>
      </c>
      <c r="C4922" s="4">
        <v>25</v>
      </c>
      <c r="D4922" s="3">
        <v>-0.89117959999999996</v>
      </c>
      <c r="E4922" s="1">
        <v>0.61670760000000002</v>
      </c>
      <c r="F4922" s="2">
        <v>0.84461220000000004</v>
      </c>
    </row>
    <row r="4923" spans="1:6" x14ac:dyDescent="0.25">
      <c r="A4923" t="s">
        <v>6</v>
      </c>
      <c r="B4923" s="5" t="str">
        <f>HYPERLINK("http://www.broadinstitute.org/gsea/msigdb/cards/GOBP_SIGNAL_TRANSDUCTION_BY_P53_CLASS_MEDIATOR.html","GOBP_SIGNAL_TRANSDUCTION_BY_P53_CLASS_MEDIATOR")</f>
        <v>GOBP_SIGNAL_TRANSDUCTION_BY_P53_CLASS_MEDIATOR</v>
      </c>
      <c r="C4923" s="4">
        <v>152</v>
      </c>
      <c r="D4923" s="3">
        <v>-0.89170050000000001</v>
      </c>
      <c r="E4923" s="1">
        <v>0.79461276999999997</v>
      </c>
      <c r="F4923" s="2">
        <v>0.84373783999999996</v>
      </c>
    </row>
    <row r="4924" spans="1:6" x14ac:dyDescent="0.25">
      <c r="A4924" t="s">
        <v>10</v>
      </c>
      <c r="B4924" s="5" t="str">
        <f>HYPERLINK("http://www.broadinstitute.org/gsea/msigdb/cards/REACTOME_NEGATIVE_REGULATION_OF_MAPK_PATHWAY.html","REACTOME_NEGATIVE_REGULATION_OF_MAPK_PATHWAY")</f>
        <v>REACTOME_NEGATIVE_REGULATION_OF_MAPK_PATHWAY</v>
      </c>
      <c r="C4924" s="4">
        <v>42</v>
      </c>
      <c r="D4924" s="3">
        <v>-0.89175534000000001</v>
      </c>
      <c r="E4924" s="1">
        <v>0.64661650000000004</v>
      </c>
      <c r="F4924" s="2">
        <v>0.84410529999999995</v>
      </c>
    </row>
    <row r="4925" spans="1:6" x14ac:dyDescent="0.25">
      <c r="A4925" t="s">
        <v>8</v>
      </c>
      <c r="B4925" s="5" t="str">
        <f>HYPERLINK("http://www.broadinstitute.org/gsea/msigdb/cards/GOMF_N_ACYLTRANSFERASE_ACTIVITY.html","GOMF_N_ACYLTRANSFERASE_ACTIVITY")</f>
        <v>GOMF_N_ACYLTRANSFERASE_ACTIVITY</v>
      </c>
      <c r="C4925" s="4">
        <v>93</v>
      </c>
      <c r="D4925" s="3">
        <v>-0.89178186999999998</v>
      </c>
      <c r="E4925" s="1">
        <v>0.73546509999999998</v>
      </c>
      <c r="F4925" s="2">
        <v>0.84453182999999998</v>
      </c>
    </row>
    <row r="4926" spans="1:6" x14ac:dyDescent="0.25">
      <c r="A4926" t="s">
        <v>6</v>
      </c>
      <c r="B4926" s="5" t="str">
        <f>HYPERLINK("http://www.broadinstitute.org/gsea/msigdb/cards/GOBP_INTRINSIC_APOPTOTIC_SIGNALING_PATHWAY_IN_RESPONSE_TO_DNA_DAMAGE_BY_P53_CLASS_MEDIATOR.html","GOBP_INTRINSIC_APOPTOTIC_SIGNALING_PATHWAY_IN_RESPONSE_TO_DNA_DAMAGE_BY_P53_CLASS_MEDIATOR")</f>
        <v>GOBP_INTRINSIC_APOPTOTIC_SIGNALING_PATHWAY_IN_RESPONSE_TO_DNA_DAMAGE_BY_P53_CLASS_MEDIATOR</v>
      </c>
      <c r="C4926" s="4">
        <v>45</v>
      </c>
      <c r="D4926" s="3">
        <v>-0.89182070000000002</v>
      </c>
      <c r="E4926" s="1">
        <v>0.64155846999999999</v>
      </c>
      <c r="F4926" s="2">
        <v>0.84494245000000001</v>
      </c>
    </row>
    <row r="4927" spans="1:6" x14ac:dyDescent="0.25">
      <c r="A4927" t="s">
        <v>6</v>
      </c>
      <c r="B4927" s="5" t="str">
        <f>HYPERLINK("http://www.broadinstitute.org/gsea/msigdb/cards/GOBP_NEGATIVE_REGULATION_OF_FIBROBLAST_GROWTH_FACTOR_RECEPTOR_SIGNALING_PATHWAY.html","GOBP_NEGATIVE_REGULATION_OF_FIBROBLAST_GROWTH_FACTOR_RECEPTOR_SIGNALING_PATHWAY")</f>
        <v>GOBP_NEGATIVE_REGULATION_OF_FIBROBLAST_GROWTH_FACTOR_RECEPTOR_SIGNALING_PATHWAY</v>
      </c>
      <c r="C4927" s="4">
        <v>19</v>
      </c>
      <c r="D4927" s="3">
        <v>-0.89189459999999998</v>
      </c>
      <c r="E4927" s="1">
        <v>0.63701920000000001</v>
      </c>
      <c r="F4927" s="2">
        <v>0.84523773000000002</v>
      </c>
    </row>
    <row r="4928" spans="1:6" x14ac:dyDescent="0.25">
      <c r="A4928" t="s">
        <v>10</v>
      </c>
      <c r="B4928" s="5" t="str">
        <f>HYPERLINK("http://www.broadinstitute.org/gsea/msigdb/cards/REACTOME_VOLTAGE_GATED_POTASSIUM_CHANNELS.html","REACTOME_VOLTAGE_GATED_POTASSIUM_CHANNELS")</f>
        <v>REACTOME_VOLTAGE_GATED_POTASSIUM_CHANNELS</v>
      </c>
      <c r="C4928" s="4">
        <v>41</v>
      </c>
      <c r="D4928" s="3">
        <v>-0.89332294000000001</v>
      </c>
      <c r="E4928" s="1">
        <v>0.65809770000000001</v>
      </c>
      <c r="F4928" s="2">
        <v>0.84209542999999998</v>
      </c>
    </row>
    <row r="4929" spans="1:6" x14ac:dyDescent="0.25">
      <c r="A4929" t="s">
        <v>6</v>
      </c>
      <c r="B4929" s="5" t="str">
        <f>HYPERLINK("http://www.broadinstitute.org/gsea/msigdb/cards/GOBP_REGULATION_OF_BRANCHING_INVOLVED_IN_URETERIC_BUD_MORPHOGENESIS.html","GOBP_REGULATION_OF_BRANCHING_INVOLVED_IN_URETERIC_BUD_MORPHOGENESIS")</f>
        <v>GOBP_REGULATION_OF_BRANCHING_INVOLVED_IN_URETERIC_BUD_MORPHOGENESIS</v>
      </c>
      <c r="C4929" s="4">
        <v>25</v>
      </c>
      <c r="D4929" s="3">
        <v>-0.89397985000000002</v>
      </c>
      <c r="E4929" s="1">
        <v>0.64597700000000002</v>
      </c>
      <c r="F4929" s="2">
        <v>0.84087270000000003</v>
      </c>
    </row>
    <row r="4930" spans="1:6" x14ac:dyDescent="0.25">
      <c r="A4930" t="s">
        <v>6</v>
      </c>
      <c r="B4930" s="5" t="str">
        <f>HYPERLINK("http://www.broadinstitute.org/gsea/msigdb/cards/GOBP_NEGATIVE_REGULATION_OF_DOUBLE_STRAND_BREAK_REPAIR_VIA_HOMOLOGOUS_RECOMBINATION.html","GOBP_NEGATIVE_REGULATION_OF_DOUBLE_STRAND_BREAK_REPAIR_VIA_HOMOLOGOUS_RECOMBINATION")</f>
        <v>GOBP_NEGATIVE_REGULATION_OF_DOUBLE_STRAND_BREAK_REPAIR_VIA_HOMOLOGOUS_RECOMBINATION</v>
      </c>
      <c r="C4930" s="4">
        <v>22</v>
      </c>
      <c r="D4930" s="3">
        <v>-0.89407515999999998</v>
      </c>
      <c r="E4930" s="1">
        <v>0.62656639999999997</v>
      </c>
      <c r="F4930" s="2">
        <v>0.84113437000000002</v>
      </c>
    </row>
    <row r="4931" spans="1:6" x14ac:dyDescent="0.25">
      <c r="A4931" t="s">
        <v>10</v>
      </c>
      <c r="B4931" s="5" t="str">
        <f>HYPERLINK("http://www.broadinstitute.org/gsea/msigdb/cards/REACTOME_MITOTIC_PROMETAPHASE.html","REACTOME_MITOTIC_PROMETAPHASE")</f>
        <v>REACTOME_MITOTIC_PROMETAPHASE</v>
      </c>
      <c r="C4931" s="4">
        <v>191</v>
      </c>
      <c r="D4931" s="3">
        <v>-0.89460516000000001</v>
      </c>
      <c r="E4931" s="1">
        <v>0.8013245</v>
      </c>
      <c r="F4931" s="2">
        <v>0.84029514000000005</v>
      </c>
    </row>
    <row r="4932" spans="1:6" x14ac:dyDescent="0.25">
      <c r="A4932" t="s">
        <v>10</v>
      </c>
      <c r="B4932" s="5" t="str">
        <f>HYPERLINK("http://www.broadinstitute.org/gsea/msigdb/cards/REACTOME_CELLULAR_RESPONSE_TO_HEAT_STRESS.html","REACTOME_CELLULAR_RESPONSE_TO_HEAT_STRESS")</f>
        <v>REACTOME_CELLULAR_RESPONSE_TO_HEAT_STRESS</v>
      </c>
      <c r="C4932" s="4">
        <v>82</v>
      </c>
      <c r="D4932" s="3">
        <v>-0.89475760000000004</v>
      </c>
      <c r="E4932" s="1">
        <v>0.70422536000000002</v>
      </c>
      <c r="F4932" s="2">
        <v>0.84040046000000002</v>
      </c>
    </row>
    <row r="4933" spans="1:6" x14ac:dyDescent="0.25">
      <c r="A4933" t="s">
        <v>6</v>
      </c>
      <c r="B4933" s="5" t="str">
        <f>HYPERLINK("http://www.broadinstitute.org/gsea/msigdb/cards/GOBP_REGULATION_OF_CAMP_DEPENDENT_PROTEIN_KINASE_ACTIVITY.html","GOBP_REGULATION_OF_CAMP_DEPENDENT_PROTEIN_KINASE_ACTIVITY")</f>
        <v>GOBP_REGULATION_OF_CAMP_DEPENDENT_PROTEIN_KINASE_ACTIVITY</v>
      </c>
      <c r="C4933" s="4">
        <v>17</v>
      </c>
      <c r="D4933" s="3">
        <v>-0.89505564999999998</v>
      </c>
      <c r="E4933" s="1">
        <v>0.61111110000000002</v>
      </c>
      <c r="F4933" s="2">
        <v>0.84012180000000003</v>
      </c>
    </row>
    <row r="4934" spans="1:6" x14ac:dyDescent="0.25">
      <c r="A4934" t="s">
        <v>8</v>
      </c>
      <c r="B4934" s="5" t="str">
        <f>HYPERLINK("http://www.broadinstitute.org/gsea/msigdb/cards/GOMF_SEQUENCE_SPECIFIC_MRNA_BINDING.html","GOMF_SEQUENCE_SPECIFIC_MRNA_BINDING")</f>
        <v>GOMF_SEQUENCE_SPECIFIC_MRNA_BINDING</v>
      </c>
      <c r="C4934" s="4">
        <v>16</v>
      </c>
      <c r="D4934" s="3">
        <v>-0.89511039999999997</v>
      </c>
      <c r="E4934" s="1">
        <v>0.58611829999999998</v>
      </c>
      <c r="F4934" s="2">
        <v>0.84049459999999998</v>
      </c>
    </row>
    <row r="4935" spans="1:6" x14ac:dyDescent="0.25">
      <c r="A4935" t="s">
        <v>6</v>
      </c>
      <c r="B4935" s="5" t="str">
        <f>HYPERLINK("http://www.broadinstitute.org/gsea/msigdb/cards/GOBP_POSITIVE_REGULATION_OF_MEIOTIC_CELL_CYCLE.html","GOBP_POSITIVE_REGULATION_OF_MEIOTIC_CELL_CYCLE")</f>
        <v>GOBP_POSITIVE_REGULATION_OF_MEIOTIC_CELL_CYCLE</v>
      </c>
      <c r="C4935" s="4">
        <v>31</v>
      </c>
      <c r="D4935" s="3">
        <v>-0.89538260000000003</v>
      </c>
      <c r="E4935" s="1">
        <v>0.64215683999999995</v>
      </c>
      <c r="F4935" s="2">
        <v>0.84030059999999995</v>
      </c>
    </row>
    <row r="4936" spans="1:6" x14ac:dyDescent="0.25">
      <c r="A4936" t="s">
        <v>6</v>
      </c>
      <c r="B4936" s="5" t="str">
        <f>HYPERLINK("http://www.broadinstitute.org/gsea/msigdb/cards/GOBP_MALE_MEIOSIS_I.html","GOBP_MALE_MEIOSIS_I")</f>
        <v>GOBP_MALE_MEIOSIS_I</v>
      </c>
      <c r="C4936" s="4">
        <v>29</v>
      </c>
      <c r="D4936" s="3">
        <v>-0.89604729999999999</v>
      </c>
      <c r="E4936" s="1">
        <v>0.61882349999999997</v>
      </c>
      <c r="F4936" s="2">
        <v>0.83906524999999998</v>
      </c>
    </row>
    <row r="4937" spans="1:6" x14ac:dyDescent="0.25">
      <c r="A4937" t="s">
        <v>6</v>
      </c>
      <c r="B4937" s="5" t="str">
        <f>HYPERLINK("http://www.broadinstitute.org/gsea/msigdb/cards/GOBP_REGULATION_OF_CILIUM_ASSEMBLY.html","GOBP_REGULATION_OF_CILIUM_ASSEMBLY")</f>
        <v>GOBP_REGULATION_OF_CILIUM_ASSEMBLY</v>
      </c>
      <c r="C4937" s="4">
        <v>74</v>
      </c>
      <c r="D4937" s="3">
        <v>-0.89638644000000001</v>
      </c>
      <c r="E4937" s="1">
        <v>0.65439093000000004</v>
      </c>
      <c r="F4937" s="2">
        <v>0.83870719999999999</v>
      </c>
    </row>
    <row r="4938" spans="1:6" x14ac:dyDescent="0.25">
      <c r="A4938" t="s">
        <v>8</v>
      </c>
      <c r="B4938" s="5" t="str">
        <f>HYPERLINK("http://www.broadinstitute.org/gsea/msigdb/cards/GOMF_QUATERNARY_AMMONIUM_GROUP_TRANSMEMBRANE_TRANSPORTER_ACTIVITY.html","GOMF_QUATERNARY_AMMONIUM_GROUP_TRANSMEMBRANE_TRANSPORTER_ACTIVITY")</f>
        <v>GOMF_QUATERNARY_AMMONIUM_GROUP_TRANSMEMBRANE_TRANSPORTER_ACTIVITY</v>
      </c>
      <c r="C4938" s="4">
        <v>21</v>
      </c>
      <c r="D4938" s="3">
        <v>-0.89675176000000001</v>
      </c>
      <c r="E4938" s="1">
        <v>0.62910794999999997</v>
      </c>
      <c r="F4938" s="2">
        <v>0.83826160000000005</v>
      </c>
    </row>
    <row r="4939" spans="1:6" x14ac:dyDescent="0.25">
      <c r="A4939" t="s">
        <v>6</v>
      </c>
      <c r="B4939" s="5" t="str">
        <f>HYPERLINK("http://www.broadinstitute.org/gsea/msigdb/cards/GOBP_RESPONSE_TO_ELECTRICAL_STIMULUS.html","GOBP_RESPONSE_TO_ELECTRICAL_STIMULUS")</f>
        <v>GOBP_RESPONSE_TO_ELECTRICAL_STIMULUS</v>
      </c>
      <c r="C4939" s="4">
        <v>23</v>
      </c>
      <c r="D4939" s="3">
        <v>-0.89697420000000005</v>
      </c>
      <c r="E4939" s="1">
        <v>0.62823530000000005</v>
      </c>
      <c r="F4939" s="2">
        <v>0.83815545000000002</v>
      </c>
    </row>
    <row r="4940" spans="1:6" x14ac:dyDescent="0.25">
      <c r="A4940" t="s">
        <v>6</v>
      </c>
      <c r="B4940" s="5" t="str">
        <f>HYPERLINK("http://www.broadinstitute.org/gsea/msigdb/cards/GOBP_POSITIVE_REGULATION_OF_CARDIOCYTE_DIFFERENTIATION.html","GOBP_POSITIVE_REGULATION_OF_CARDIOCYTE_DIFFERENTIATION")</f>
        <v>GOBP_POSITIVE_REGULATION_OF_CARDIOCYTE_DIFFERENTIATION</v>
      </c>
      <c r="C4940" s="4">
        <v>15</v>
      </c>
      <c r="D4940" s="3">
        <v>-0.89749884999999996</v>
      </c>
      <c r="E4940" s="1">
        <v>0.59024390000000004</v>
      </c>
      <c r="F4940" s="2">
        <v>0.83728340000000001</v>
      </c>
    </row>
    <row r="4941" spans="1:6" x14ac:dyDescent="0.25">
      <c r="A4941" t="s">
        <v>8</v>
      </c>
      <c r="B4941" s="5" t="str">
        <f>HYPERLINK("http://www.broadinstitute.org/gsea/msigdb/cards/GOMF_PROTEIN_LYSINE_DEACETYLASE_ACTIVITY.html","GOMF_PROTEIN_LYSINE_DEACETYLASE_ACTIVITY")</f>
        <v>GOMF_PROTEIN_LYSINE_DEACETYLASE_ACTIVITY</v>
      </c>
      <c r="C4941" s="4">
        <v>22</v>
      </c>
      <c r="D4941" s="3">
        <v>-0.89778477000000001</v>
      </c>
      <c r="E4941" s="1">
        <v>0.61662817000000003</v>
      </c>
      <c r="F4941" s="2">
        <v>0.83703649999999996</v>
      </c>
    </row>
    <row r="4942" spans="1:6" x14ac:dyDescent="0.25">
      <c r="A4942" t="s">
        <v>11</v>
      </c>
      <c r="B4942" s="5" t="str">
        <f>HYPERLINK("http://www.broadinstitute.org/gsea/msigdb/cards/WP_GLYCOGEN_METABOLISM.html","WP_GLYCOGEN_METABOLISM")</f>
        <v>WP_GLYCOGEN_METABOLISM</v>
      </c>
      <c r="C4942" s="4">
        <v>34</v>
      </c>
      <c r="D4942" s="3">
        <v>-0.89804446999999998</v>
      </c>
      <c r="E4942" s="1">
        <v>0.63480395000000001</v>
      </c>
      <c r="F4942" s="2">
        <v>0.83684210000000003</v>
      </c>
    </row>
    <row r="4943" spans="1:6" x14ac:dyDescent="0.25">
      <c r="A4943" t="s">
        <v>6</v>
      </c>
      <c r="B4943" s="5" t="str">
        <f>HYPERLINK("http://www.broadinstitute.org/gsea/msigdb/cards/GOBP_STRESS_GRANULE_ASSEMBLY.html","GOBP_STRESS_GRANULE_ASSEMBLY")</f>
        <v>GOBP_STRESS_GRANULE_ASSEMBLY</v>
      </c>
      <c r="C4943" s="4">
        <v>32</v>
      </c>
      <c r="D4943" s="3">
        <v>-0.89836369999999999</v>
      </c>
      <c r="E4943" s="1">
        <v>0.60459185000000004</v>
      </c>
      <c r="F4943" s="2">
        <v>0.83651423000000003</v>
      </c>
    </row>
    <row r="4944" spans="1:6" x14ac:dyDescent="0.25">
      <c r="A4944" t="s">
        <v>6</v>
      </c>
      <c r="B4944" s="5" t="str">
        <f>HYPERLINK("http://www.broadinstitute.org/gsea/msigdb/cards/GOBP_CELLULAR_COMPONENT_DISASSEMBLY_INVOLVED_IN_EXECUTION_PHASE_OF_APOPTOSIS.html","GOBP_CELLULAR_COMPONENT_DISASSEMBLY_INVOLVED_IN_EXECUTION_PHASE_OF_APOPTOSIS")</f>
        <v>GOBP_CELLULAR_COMPONENT_DISASSEMBLY_INVOLVED_IN_EXECUTION_PHASE_OF_APOPTOSIS</v>
      </c>
      <c r="C4944" s="4">
        <v>33</v>
      </c>
      <c r="D4944" s="3">
        <v>-0.89879240000000005</v>
      </c>
      <c r="E4944" s="1">
        <v>0.62935319999999995</v>
      </c>
      <c r="F4944" s="2">
        <v>0.83589349999999996</v>
      </c>
    </row>
    <row r="4945" spans="1:6" x14ac:dyDescent="0.25">
      <c r="A4945" t="s">
        <v>8</v>
      </c>
      <c r="B4945" s="5" t="str">
        <f>HYPERLINK("http://www.broadinstitute.org/gsea/msigdb/cards/GOMF_TUBULIN_BINDING.html","GOMF_TUBULIN_BINDING")</f>
        <v>GOMF_TUBULIN_BINDING</v>
      </c>
      <c r="C4945" s="4">
        <v>380</v>
      </c>
      <c r="D4945" s="3">
        <v>-0.8988507</v>
      </c>
      <c r="E4945" s="1">
        <v>0.88596492999999998</v>
      </c>
      <c r="F4945" s="2">
        <v>0.83624080000000001</v>
      </c>
    </row>
    <row r="4946" spans="1:6" x14ac:dyDescent="0.25">
      <c r="A4946" t="s">
        <v>6</v>
      </c>
      <c r="B4946" s="5" t="str">
        <f>HYPERLINK("http://www.broadinstitute.org/gsea/msigdb/cards/GOBP_NEGATIVE_REGULATION_OF_FATTY_ACID_METABOLIC_PROCESS.html","GOBP_NEGATIVE_REGULATION_OF_FATTY_ACID_METABOLIC_PROCESS")</f>
        <v>GOBP_NEGATIVE_REGULATION_OF_FATTY_ACID_METABOLIC_PROCESS</v>
      </c>
      <c r="C4946" s="4">
        <v>34</v>
      </c>
      <c r="D4946" s="3">
        <v>-0.89905816000000005</v>
      </c>
      <c r="E4946" s="1">
        <v>0.6171875</v>
      </c>
      <c r="F4946" s="2">
        <v>0.83621080000000003</v>
      </c>
    </row>
    <row r="4947" spans="1:6" x14ac:dyDescent="0.25">
      <c r="A4947" t="s">
        <v>6</v>
      </c>
      <c r="B4947" s="5" t="str">
        <f>HYPERLINK("http://www.broadinstitute.org/gsea/msigdb/cards/GOBP_REGULATION_OF_INTESTINAL_ABSORPTION.html","GOBP_REGULATION_OF_INTESTINAL_ABSORPTION")</f>
        <v>GOBP_REGULATION_OF_INTESTINAL_ABSORPTION</v>
      </c>
      <c r="C4947" s="4">
        <v>17</v>
      </c>
      <c r="D4947" s="3">
        <v>-0.89916043999999995</v>
      </c>
      <c r="E4947" s="1">
        <v>0.62612610000000002</v>
      </c>
      <c r="F4947" s="2">
        <v>0.83641600000000005</v>
      </c>
    </row>
    <row r="4948" spans="1:6" x14ac:dyDescent="0.25">
      <c r="A4948" t="s">
        <v>6</v>
      </c>
      <c r="B4948" s="5" t="str">
        <f>HYPERLINK("http://www.broadinstitute.org/gsea/msigdb/cards/GOBP_CELLULAR_RESPONSE_TO_LIGHT_STIMULUS.html","GOBP_CELLULAR_RESPONSE_TO_LIGHT_STIMULUS")</f>
        <v>GOBP_CELLULAR_RESPONSE_TO_LIGHT_STIMULUS</v>
      </c>
      <c r="C4948" s="4">
        <v>114</v>
      </c>
      <c r="D4948" s="3">
        <v>-0.90006083000000003</v>
      </c>
      <c r="E4948" s="1">
        <v>0.72897195999999997</v>
      </c>
      <c r="F4948" s="2">
        <v>0.83458715999999999</v>
      </c>
    </row>
    <row r="4949" spans="1:6" x14ac:dyDescent="0.25">
      <c r="A4949" t="s">
        <v>6</v>
      </c>
      <c r="B4949" s="5" t="str">
        <f>HYPERLINK("http://www.broadinstitute.org/gsea/msigdb/cards/GOBP_SPERM_EGG_RECOGNITION.html","GOBP_SPERM_EGG_RECOGNITION")</f>
        <v>GOBP_SPERM_EGG_RECOGNITION</v>
      </c>
      <c r="C4949" s="4">
        <v>53</v>
      </c>
      <c r="D4949" s="3">
        <v>-0.90095645000000002</v>
      </c>
      <c r="E4949" s="1">
        <v>0.64032699999999998</v>
      </c>
      <c r="F4949" s="2">
        <v>0.83271044000000005</v>
      </c>
    </row>
    <row r="4950" spans="1:6" x14ac:dyDescent="0.25">
      <c r="A4950" t="s">
        <v>7</v>
      </c>
      <c r="B4950" s="5" t="str">
        <f>HYPERLINK("http://www.broadinstitute.org/gsea/msigdb/cards/GOCC_CILIARY_BASAL_BODY.html","GOCC_CILIARY_BASAL_BODY")</f>
        <v>GOCC_CILIARY_BASAL_BODY</v>
      </c>
      <c r="C4950" s="4">
        <v>183</v>
      </c>
      <c r="D4950" s="3">
        <v>-0.90117420000000004</v>
      </c>
      <c r="E4950" s="1">
        <v>0.76470590000000005</v>
      </c>
      <c r="F4950" s="2">
        <v>0.83264976999999996</v>
      </c>
    </row>
    <row r="4951" spans="1:6" x14ac:dyDescent="0.25">
      <c r="A4951" t="s">
        <v>6</v>
      </c>
      <c r="B4951" s="5" t="str">
        <f>HYPERLINK("http://www.broadinstitute.org/gsea/msigdb/cards/GOBP_REGULATION_OF_CELL_GROWTH_INVOLVED_IN_CARDIAC_MUSCLE_CELL_DEVELOPMENT.html","GOBP_REGULATION_OF_CELL_GROWTH_INVOLVED_IN_CARDIAC_MUSCLE_CELL_DEVELOPMENT")</f>
        <v>GOBP_REGULATION_OF_CELL_GROWTH_INVOLVED_IN_CARDIAC_MUSCLE_CELL_DEVELOPMENT</v>
      </c>
      <c r="C4951" s="4">
        <v>34</v>
      </c>
      <c r="D4951" s="3">
        <v>-0.90156674000000003</v>
      </c>
      <c r="E4951" s="1">
        <v>0.63235295000000002</v>
      </c>
      <c r="F4951" s="2">
        <v>0.83213320000000002</v>
      </c>
    </row>
    <row r="4952" spans="1:6" x14ac:dyDescent="0.25">
      <c r="A4952" t="s">
        <v>6</v>
      </c>
      <c r="B4952" s="5" t="str">
        <f>HYPERLINK("http://www.broadinstitute.org/gsea/msigdb/cards/GOBP_REGULATION_OF_GLUCOSE_METABOLIC_PROCESS.html","GOBP_REGULATION_OF_GLUCOSE_METABOLIC_PROCESS")</f>
        <v>GOBP_REGULATION_OF_GLUCOSE_METABOLIC_PROCESS</v>
      </c>
      <c r="C4952" s="4">
        <v>110</v>
      </c>
      <c r="D4952" s="3">
        <v>-0.90183276000000001</v>
      </c>
      <c r="E4952" s="1">
        <v>0.75602409999999998</v>
      </c>
      <c r="F4952" s="2">
        <v>0.83190569999999997</v>
      </c>
    </row>
    <row r="4953" spans="1:6" x14ac:dyDescent="0.25">
      <c r="A4953" t="s">
        <v>8</v>
      </c>
      <c r="B4953" s="5" t="str">
        <f>HYPERLINK("http://www.broadinstitute.org/gsea/msigdb/cards/GOMF_ACTIVE_TRANSMEMBRANE_TRANSPORTER_ACTIVITY.html","GOMF_ACTIVE_TRANSMEMBRANE_TRANSPORTER_ACTIVITY")</f>
        <v>GOMF_ACTIVE_TRANSMEMBRANE_TRANSPORTER_ACTIVITY</v>
      </c>
      <c r="C4953" s="4">
        <v>410</v>
      </c>
      <c r="D4953" s="3">
        <v>-0.90323584999999995</v>
      </c>
      <c r="E4953" s="1">
        <v>0.86639679999999997</v>
      </c>
      <c r="F4953" s="2">
        <v>0.82869420000000005</v>
      </c>
    </row>
    <row r="4954" spans="1:6" x14ac:dyDescent="0.25">
      <c r="A4954" t="s">
        <v>8</v>
      </c>
      <c r="B4954" s="5" t="str">
        <f>HYPERLINK("http://www.broadinstitute.org/gsea/msigdb/cards/GOMF_CHROMATIN_PROTEIN_ADAPTOR_ACTIVITY.html","GOMF_CHROMATIN_PROTEIN_ADAPTOR_ACTIVITY")</f>
        <v>GOMF_CHROMATIN_PROTEIN_ADAPTOR_ACTIVITY</v>
      </c>
      <c r="C4954" s="4">
        <v>17</v>
      </c>
      <c r="D4954" s="3">
        <v>-0.90340567000000005</v>
      </c>
      <c r="E4954" s="1">
        <v>0.61358314999999997</v>
      </c>
      <c r="F4954" s="2">
        <v>0.82872175999999997</v>
      </c>
    </row>
    <row r="4955" spans="1:6" x14ac:dyDescent="0.25">
      <c r="A4955" t="s">
        <v>7</v>
      </c>
      <c r="B4955" s="5" t="str">
        <f>HYPERLINK("http://www.broadinstitute.org/gsea/msigdb/cards/GOCC_TERMINAL_BOUTON.html","GOCC_TERMINAL_BOUTON")</f>
        <v>GOCC_TERMINAL_BOUTON</v>
      </c>
      <c r="C4955" s="4">
        <v>91</v>
      </c>
      <c r="D4955" s="3">
        <v>-0.90373049999999999</v>
      </c>
      <c r="E4955" s="1">
        <v>0.72364669999999998</v>
      </c>
      <c r="F4955" s="2">
        <v>0.82832519999999998</v>
      </c>
    </row>
    <row r="4956" spans="1:6" x14ac:dyDescent="0.25">
      <c r="A4956" t="s">
        <v>6</v>
      </c>
      <c r="B4956" s="5" t="str">
        <f>HYPERLINK("http://www.broadinstitute.org/gsea/msigdb/cards/GOBP_CELLULAR_RESPONSE_TO_CARBOHYDRATE_STIMULUS.html","GOBP_CELLULAR_RESPONSE_TO_CARBOHYDRATE_STIMULUS")</f>
        <v>GOBP_CELLULAR_RESPONSE_TO_CARBOHYDRATE_STIMULUS</v>
      </c>
      <c r="C4956" s="4">
        <v>154</v>
      </c>
      <c r="D4956" s="3">
        <v>-0.90391350000000004</v>
      </c>
      <c r="E4956" s="1">
        <v>0.69774919999999996</v>
      </c>
      <c r="F4956" s="2">
        <v>0.82835150000000002</v>
      </c>
    </row>
    <row r="4957" spans="1:6" x14ac:dyDescent="0.25">
      <c r="A4957" t="s">
        <v>10</v>
      </c>
      <c r="B4957" s="5" t="str">
        <f>HYPERLINK("http://www.broadinstitute.org/gsea/msigdb/cards/REACTOME_NEURONAL_SYSTEM.html","REACTOME_NEURONAL_SYSTEM")</f>
        <v>REACTOME_NEURONAL_SYSTEM</v>
      </c>
      <c r="C4957" s="4">
        <v>326</v>
      </c>
      <c r="D4957" s="3">
        <v>-0.90507709999999997</v>
      </c>
      <c r="E4957" s="1">
        <v>0.86290323999999996</v>
      </c>
      <c r="F4957" s="2">
        <v>0.82576930000000004</v>
      </c>
    </row>
    <row r="4958" spans="1:6" x14ac:dyDescent="0.25">
      <c r="A4958" t="s">
        <v>6</v>
      </c>
      <c r="B4958" s="5" t="str">
        <f>HYPERLINK("http://www.broadinstitute.org/gsea/msigdb/cards/GOBP_NEGATIVE_REGULATION_OF_GLIAL_CELL_PROLIFERATION.html","GOBP_NEGATIVE_REGULATION_OF_GLIAL_CELL_PROLIFERATION")</f>
        <v>GOBP_NEGATIVE_REGULATION_OF_GLIAL_CELL_PROLIFERATION</v>
      </c>
      <c r="C4958" s="4">
        <v>23</v>
      </c>
      <c r="D4958" s="3">
        <v>-0.90591840000000001</v>
      </c>
      <c r="E4958" s="1">
        <v>0.59302323999999995</v>
      </c>
      <c r="F4958" s="2">
        <v>0.82402116000000003</v>
      </c>
    </row>
    <row r="4959" spans="1:6" x14ac:dyDescent="0.25">
      <c r="A4959" t="s">
        <v>6</v>
      </c>
      <c r="B4959" s="5" t="str">
        <f>HYPERLINK("http://www.broadinstitute.org/gsea/msigdb/cards/GOBP_SECONDARY_PALATE_DEVELOPMENT.html","GOBP_SECONDARY_PALATE_DEVELOPMENT")</f>
        <v>GOBP_SECONDARY_PALATE_DEVELOPMENT</v>
      </c>
      <c r="C4959" s="4">
        <v>27</v>
      </c>
      <c r="D4959" s="3">
        <v>-0.90597119999999998</v>
      </c>
      <c r="E4959" s="1">
        <v>0.60613810000000001</v>
      </c>
      <c r="F4959" s="2">
        <v>0.82438599999999995</v>
      </c>
    </row>
    <row r="4960" spans="1:6" x14ac:dyDescent="0.25">
      <c r="A4960" t="s">
        <v>8</v>
      </c>
      <c r="B4960" s="5" t="str">
        <f>HYPERLINK("http://www.broadinstitute.org/gsea/msigdb/cards/GOMF_REGULATORY_RNA_BINDING.html","GOMF_REGULATORY_RNA_BINDING")</f>
        <v>GOMF_REGULATORY_RNA_BINDING</v>
      </c>
      <c r="C4960" s="4">
        <v>46</v>
      </c>
      <c r="D4960" s="3">
        <v>-0.9062211</v>
      </c>
      <c r="E4960" s="1">
        <v>0.61788620000000005</v>
      </c>
      <c r="F4960" s="2">
        <v>0.82423170000000001</v>
      </c>
    </row>
    <row r="4961" spans="1:6" x14ac:dyDescent="0.25">
      <c r="A4961" t="s">
        <v>8</v>
      </c>
      <c r="B4961" s="5" t="str">
        <f>HYPERLINK("http://www.broadinstitute.org/gsea/msigdb/cards/GOMF_PEROXISOME_PROLIFERATOR_ACTIVATED_RECEPTOR_BINDING.html","GOMF_PEROXISOME_PROLIFERATOR_ACTIVATED_RECEPTOR_BINDING")</f>
        <v>GOMF_PEROXISOME_PROLIFERATOR_ACTIVATED_RECEPTOR_BINDING</v>
      </c>
      <c r="C4961" s="4">
        <v>22</v>
      </c>
      <c r="D4961" s="3">
        <v>-0.90672134999999998</v>
      </c>
      <c r="E4961" s="1">
        <v>0.61904764000000001</v>
      </c>
      <c r="F4961" s="2">
        <v>0.82340086000000001</v>
      </c>
    </row>
    <row r="4962" spans="1:6" x14ac:dyDescent="0.25">
      <c r="A4962" t="s">
        <v>8</v>
      </c>
      <c r="B4962" s="5" t="str">
        <f>HYPERLINK("http://www.broadinstitute.org/gsea/msigdb/cards/GOMF_4_IRON_4_SULFUR_CLUSTER_BINDING.html","GOMF_4_IRON_4_SULFUR_CLUSTER_BINDING")</f>
        <v>GOMF_4_IRON_4_SULFUR_CLUSTER_BINDING</v>
      </c>
      <c r="C4962" s="4">
        <v>40</v>
      </c>
      <c r="D4962" s="3">
        <v>-0.90774052999999999</v>
      </c>
      <c r="E4962" s="1">
        <v>0.62803229999999999</v>
      </c>
      <c r="F4962" s="2">
        <v>0.82118475000000002</v>
      </c>
    </row>
    <row r="4963" spans="1:6" x14ac:dyDescent="0.25">
      <c r="A4963" t="s">
        <v>10</v>
      </c>
      <c r="B4963" s="5" t="str">
        <f>HYPERLINK("http://www.broadinstitute.org/gsea/msigdb/cards/REACTOME_THE_PHOTOTRANSDUCTION_CASCADE.html","REACTOME_THE_PHOTOTRANSDUCTION_CASCADE")</f>
        <v>REACTOME_THE_PHOTOTRANSDUCTION_CASCADE</v>
      </c>
      <c r="C4963" s="4">
        <v>27</v>
      </c>
      <c r="D4963" s="3">
        <v>-0.90799830000000004</v>
      </c>
      <c r="E4963" s="1">
        <v>0.58663370000000004</v>
      </c>
      <c r="F4963" s="2">
        <v>0.8209862</v>
      </c>
    </row>
    <row r="4964" spans="1:6" x14ac:dyDescent="0.25">
      <c r="A4964" t="s">
        <v>7</v>
      </c>
      <c r="B4964" s="5" t="str">
        <f>HYPERLINK("http://www.broadinstitute.org/gsea/msigdb/cards/GOCC_SYNAPTONEMAL_STRUCTURE.html","GOCC_SYNAPTONEMAL_STRUCTURE")</f>
        <v>GOCC_SYNAPTONEMAL_STRUCTURE</v>
      </c>
      <c r="C4964" s="4">
        <v>48</v>
      </c>
      <c r="D4964" s="3">
        <v>-0.90821224</v>
      </c>
      <c r="E4964" s="1">
        <v>0.60567009999999999</v>
      </c>
      <c r="F4964" s="2">
        <v>0.82089990000000002</v>
      </c>
    </row>
    <row r="4965" spans="1:6" x14ac:dyDescent="0.25">
      <c r="A4965" t="s">
        <v>7</v>
      </c>
      <c r="B4965" s="5" t="str">
        <f>HYPERLINK("http://www.broadinstitute.org/gsea/msigdb/cards/GOCC_AXONEMAL_DYNEIN_COMPLEX.html","GOCC_AXONEMAL_DYNEIN_COMPLEX")</f>
        <v>GOCC_AXONEMAL_DYNEIN_COMPLEX</v>
      </c>
      <c r="C4965" s="4">
        <v>26</v>
      </c>
      <c r="D4965" s="3">
        <v>-0.90865105000000002</v>
      </c>
      <c r="E4965" s="1">
        <v>0.60442260000000003</v>
      </c>
      <c r="F4965" s="2">
        <v>0.82019299999999995</v>
      </c>
    </row>
    <row r="4966" spans="1:6" x14ac:dyDescent="0.25">
      <c r="A4966" t="s">
        <v>8</v>
      </c>
      <c r="B4966" s="5" t="str">
        <f>HYPERLINK("http://www.broadinstitute.org/gsea/msigdb/cards/GOMF_P_TYPE_TRANSMEMBRANE_TRANSPORTER_ACTIVITY.html","GOMF_P_TYPE_TRANSMEMBRANE_TRANSPORTER_ACTIVITY")</f>
        <v>GOMF_P_TYPE_TRANSMEMBRANE_TRANSPORTER_ACTIVITY</v>
      </c>
      <c r="C4966" s="4">
        <v>33</v>
      </c>
      <c r="D4966" s="3">
        <v>-0.90893979999999996</v>
      </c>
      <c r="E4966" s="1">
        <v>0.62068962999999999</v>
      </c>
      <c r="F4966" s="2">
        <v>0.81989336000000002</v>
      </c>
    </row>
    <row r="4967" spans="1:6" x14ac:dyDescent="0.25">
      <c r="A4967" t="s">
        <v>7</v>
      </c>
      <c r="B4967" s="5" t="str">
        <f>HYPERLINK("http://www.broadinstitute.org/gsea/msigdb/cards/GOCC_UBIQUITIN_LIGASE_COMPLEX.html","GOCC_UBIQUITIN_LIGASE_COMPLEX")</f>
        <v>GOCC_UBIQUITIN_LIGASE_COMPLEX</v>
      </c>
      <c r="C4967" s="4">
        <v>301</v>
      </c>
      <c r="D4967" s="3">
        <v>-0.90901600000000005</v>
      </c>
      <c r="E4967" s="1">
        <v>0.83482140000000005</v>
      </c>
      <c r="F4967" s="2">
        <v>0.82020249999999995</v>
      </c>
    </row>
    <row r="4968" spans="1:6" x14ac:dyDescent="0.25">
      <c r="A4968" t="s">
        <v>6</v>
      </c>
      <c r="B4968" s="5" t="str">
        <f>HYPERLINK("http://www.broadinstitute.org/gsea/msigdb/cards/GOBP_CELL_SURFACE_RECEPTOR_SIGNALING_PATHWAY_INVOLVED_IN_HEART_DEVELOPMENT.html","GOBP_CELL_SURFACE_RECEPTOR_SIGNALING_PATHWAY_INVOLVED_IN_HEART_DEVELOPMENT")</f>
        <v>GOBP_CELL_SURFACE_RECEPTOR_SIGNALING_PATHWAY_INVOLVED_IN_HEART_DEVELOPMENT</v>
      </c>
      <c r="C4968" s="4">
        <v>23</v>
      </c>
      <c r="D4968" s="3">
        <v>-0.90952854999999999</v>
      </c>
      <c r="E4968" s="1">
        <v>0.60820043000000001</v>
      </c>
      <c r="F4968" s="2">
        <v>0.81936070000000005</v>
      </c>
    </row>
    <row r="4969" spans="1:6" x14ac:dyDescent="0.25">
      <c r="A4969" t="s">
        <v>6</v>
      </c>
      <c r="B4969" s="5" t="str">
        <f>HYPERLINK("http://www.broadinstitute.org/gsea/msigdb/cards/GOBP_LONG_TERM_MEMORY.html","GOBP_LONG_TERM_MEMORY")</f>
        <v>GOBP_LONG_TERM_MEMORY</v>
      </c>
      <c r="C4969" s="4">
        <v>43</v>
      </c>
      <c r="D4969" s="3">
        <v>-0.9102114</v>
      </c>
      <c r="E4969" s="1">
        <v>0.60847879999999999</v>
      </c>
      <c r="F4969" s="2">
        <v>0.8180347</v>
      </c>
    </row>
    <row r="4970" spans="1:6" x14ac:dyDescent="0.25">
      <c r="A4970" t="s">
        <v>6</v>
      </c>
      <c r="B4970" s="5" t="str">
        <f>HYPERLINK("http://www.broadinstitute.org/gsea/msigdb/cards/GOBP_REGULATION_OF_BEHAVIOR.html","GOBP_REGULATION_OF_BEHAVIOR")</f>
        <v>GOBP_REGULATION_OF_BEHAVIOR</v>
      </c>
      <c r="C4970" s="4">
        <v>102</v>
      </c>
      <c r="D4970" s="3">
        <v>-0.91039515000000004</v>
      </c>
      <c r="E4970" s="1">
        <v>0.70031549999999998</v>
      </c>
      <c r="F4970" s="2">
        <v>0.81802620000000004</v>
      </c>
    </row>
    <row r="4971" spans="1:6" x14ac:dyDescent="0.25">
      <c r="A4971" t="s">
        <v>10</v>
      </c>
      <c r="B4971" s="5" t="str">
        <f>HYPERLINK("http://www.broadinstitute.org/gsea/msigdb/cards/REACTOME_CELL_CELL_JUNCTION_ORGANIZATION.html","REACTOME_CELL_CELL_JUNCTION_ORGANIZATION")</f>
        <v>REACTOME_CELL_CELL_JUNCTION_ORGANIZATION</v>
      </c>
      <c r="C4971" s="4">
        <v>48</v>
      </c>
      <c r="D4971" s="3">
        <v>-0.91050374999999995</v>
      </c>
      <c r="E4971" s="1">
        <v>0.61458330000000005</v>
      </c>
      <c r="F4971" s="2">
        <v>0.81822216999999997</v>
      </c>
    </row>
    <row r="4972" spans="1:6" x14ac:dyDescent="0.25">
      <c r="A4972" t="s">
        <v>6</v>
      </c>
      <c r="B4972" s="5" t="str">
        <f>HYPERLINK("http://www.broadinstitute.org/gsea/msigdb/cards/GOBP_MITOCHONDRIAL_GENOME_MAINTENANCE.html","GOBP_MITOCHONDRIAL_GENOME_MAINTENANCE")</f>
        <v>GOBP_MITOCHONDRIAL_GENOME_MAINTENANCE</v>
      </c>
      <c r="C4972" s="4">
        <v>36</v>
      </c>
      <c r="D4972" s="3">
        <v>-0.91051919999999997</v>
      </c>
      <c r="E4972" s="1">
        <v>0.61975305999999997</v>
      </c>
      <c r="F4972" s="2">
        <v>0.81867480000000004</v>
      </c>
    </row>
    <row r="4973" spans="1:6" x14ac:dyDescent="0.25">
      <c r="A4973" t="s">
        <v>6</v>
      </c>
      <c r="B4973" s="5" t="str">
        <f>HYPERLINK("http://www.broadinstitute.org/gsea/msigdb/cards/GOBP_NEGATIVE_REGULATION_OF_NUCLEOCYTOPLASMIC_TRANSPORT.html","GOBP_NEGATIVE_REGULATION_OF_NUCLEOCYTOPLASMIC_TRANSPORT")</f>
        <v>GOBP_NEGATIVE_REGULATION_OF_NUCLEOCYTOPLASMIC_TRANSPORT</v>
      </c>
      <c r="C4973" s="4">
        <v>28</v>
      </c>
      <c r="D4973" s="3">
        <v>-0.91112420000000005</v>
      </c>
      <c r="E4973" s="1">
        <v>0.59855769999999997</v>
      </c>
      <c r="F4973" s="2">
        <v>0.81754459999999995</v>
      </c>
    </row>
    <row r="4974" spans="1:6" x14ac:dyDescent="0.25">
      <c r="A4974" t="s">
        <v>6</v>
      </c>
      <c r="B4974" s="5" t="str">
        <f>HYPERLINK("http://www.broadinstitute.org/gsea/msigdb/cards/GOBP_NEUROTRANSMITTER_UPTAKE.html","GOBP_NEUROTRANSMITTER_UPTAKE")</f>
        <v>GOBP_NEUROTRANSMITTER_UPTAKE</v>
      </c>
      <c r="C4974" s="4">
        <v>44</v>
      </c>
      <c r="D4974" s="3">
        <v>-0.91120714000000003</v>
      </c>
      <c r="E4974" s="1">
        <v>0.65217393999999995</v>
      </c>
      <c r="F4974" s="2">
        <v>0.81782889999999997</v>
      </c>
    </row>
    <row r="4975" spans="1:6" x14ac:dyDescent="0.25">
      <c r="A4975" t="s">
        <v>7</v>
      </c>
      <c r="B4975" s="5" t="str">
        <f>HYPERLINK("http://www.broadinstitute.org/gsea/msigdb/cards/GOCC_NON_MOTILE_CILIUM.html","GOCC_NON_MOTILE_CILIUM")</f>
        <v>GOCC_NON_MOTILE_CILIUM</v>
      </c>
      <c r="C4975" s="4">
        <v>166</v>
      </c>
      <c r="D4975" s="3">
        <v>-0.91123679999999996</v>
      </c>
      <c r="E4975" s="1">
        <v>0.71804509999999999</v>
      </c>
      <c r="F4975" s="2">
        <v>0.81824576999999998</v>
      </c>
    </row>
    <row r="4976" spans="1:6" x14ac:dyDescent="0.25">
      <c r="A4976" t="s">
        <v>8</v>
      </c>
      <c r="B4976" s="5" t="str">
        <f>HYPERLINK("http://www.broadinstitute.org/gsea/msigdb/cards/GOMF_ACTIN_MONOMER_BINDING.html","GOMF_ACTIN_MONOMER_BINDING")</f>
        <v>GOMF_ACTIN_MONOMER_BINDING</v>
      </c>
      <c r="C4976" s="4">
        <v>27</v>
      </c>
      <c r="D4976" s="3">
        <v>-0.91143390000000002</v>
      </c>
      <c r="E4976" s="1">
        <v>0.61870502999999999</v>
      </c>
      <c r="F4976" s="2">
        <v>0.81819737000000003</v>
      </c>
    </row>
    <row r="4977" spans="1:6" x14ac:dyDescent="0.25">
      <c r="A4977" t="s">
        <v>7</v>
      </c>
      <c r="B4977" s="5" t="str">
        <f>HYPERLINK("http://www.broadinstitute.org/gsea/msigdb/cards/GOCC_PRERIBOSOME.html","GOCC_PRERIBOSOME")</f>
        <v>GOCC_PRERIBOSOME</v>
      </c>
      <c r="C4977" s="4">
        <v>108</v>
      </c>
      <c r="D4977" s="3">
        <v>-0.91163649999999996</v>
      </c>
      <c r="E4977" s="1">
        <v>0.67952520000000005</v>
      </c>
      <c r="F4977" s="2">
        <v>0.81812149999999995</v>
      </c>
    </row>
    <row r="4978" spans="1:6" x14ac:dyDescent="0.25">
      <c r="A4978" t="s">
        <v>6</v>
      </c>
      <c r="B4978" s="5" t="str">
        <f>HYPERLINK("http://www.broadinstitute.org/gsea/msigdb/cards/GOBP_QUINONE_METABOLIC_PROCESS.html","GOBP_QUINONE_METABOLIC_PROCESS")</f>
        <v>GOBP_QUINONE_METABOLIC_PROCESS</v>
      </c>
      <c r="C4978" s="4">
        <v>38</v>
      </c>
      <c r="D4978" s="3">
        <v>-0.91174409999999995</v>
      </c>
      <c r="E4978" s="1">
        <v>0.61951219999999996</v>
      </c>
      <c r="F4978" s="2">
        <v>0.81832130000000003</v>
      </c>
    </row>
    <row r="4979" spans="1:6" x14ac:dyDescent="0.25">
      <c r="A4979" t="s">
        <v>6</v>
      </c>
      <c r="B4979" s="5" t="str">
        <f>HYPERLINK("http://www.broadinstitute.org/gsea/msigdb/cards/GOBP_SINGLE_FERTILIZATION.html","GOBP_SINGLE_FERTILIZATION")</f>
        <v>GOBP_SINGLE_FERTILIZATION</v>
      </c>
      <c r="C4979" s="4">
        <v>146</v>
      </c>
      <c r="D4979" s="3">
        <v>-0.91227720000000001</v>
      </c>
      <c r="E4979" s="1">
        <v>0.73400675999999998</v>
      </c>
      <c r="F4979" s="2">
        <v>0.81736819999999999</v>
      </c>
    </row>
    <row r="4980" spans="1:6" x14ac:dyDescent="0.25">
      <c r="A4980" t="s">
        <v>7</v>
      </c>
      <c r="B4980" s="5" t="str">
        <f>HYPERLINK("http://www.broadinstitute.org/gsea/msigdb/cards/GOCC_XY_BODY.html","GOCC_XY_BODY")</f>
        <v>GOCC_XY_BODY</v>
      </c>
      <c r="C4980" s="4">
        <v>23</v>
      </c>
      <c r="D4980" s="3">
        <v>-0.91232650000000004</v>
      </c>
      <c r="E4980" s="1">
        <v>0.58955219999999997</v>
      </c>
      <c r="F4980" s="2">
        <v>0.81773859999999998</v>
      </c>
    </row>
    <row r="4981" spans="1:6" x14ac:dyDescent="0.25">
      <c r="A4981" t="s">
        <v>6</v>
      </c>
      <c r="B4981" s="5" t="str">
        <f>HYPERLINK("http://www.broadinstitute.org/gsea/msigdb/cards/GOBP_MICROTUBULE_BASED_MOVEMENT.html","GOBP_MICROTUBULE_BASED_MOVEMENT")</f>
        <v>GOBP_MICROTUBULE_BASED_MOVEMENT</v>
      </c>
      <c r="C4981" s="4">
        <v>425</v>
      </c>
      <c r="D4981" s="3">
        <v>-0.9128735</v>
      </c>
      <c r="E4981" s="1">
        <v>0.87081337000000003</v>
      </c>
      <c r="F4981" s="2">
        <v>0.81673370000000001</v>
      </c>
    </row>
    <row r="4982" spans="1:6" x14ac:dyDescent="0.25">
      <c r="A4982" t="s">
        <v>6</v>
      </c>
      <c r="B4982" s="5" t="str">
        <f>HYPERLINK("http://www.broadinstitute.org/gsea/msigdb/cards/GOBP_PHOTORECEPTOR_CELL_MAINTENANCE.html","GOBP_PHOTORECEPTOR_CELL_MAINTENANCE")</f>
        <v>GOBP_PHOTORECEPTOR_CELL_MAINTENANCE</v>
      </c>
      <c r="C4982" s="4">
        <v>45</v>
      </c>
      <c r="D4982" s="3">
        <v>-0.91300356000000005</v>
      </c>
      <c r="E4982" s="1">
        <v>0.62561580000000006</v>
      </c>
      <c r="F4982" s="2">
        <v>0.81688740000000004</v>
      </c>
    </row>
    <row r="4983" spans="1:6" x14ac:dyDescent="0.25">
      <c r="A4983" t="s">
        <v>6</v>
      </c>
      <c r="B4983" s="5" t="str">
        <f>HYPERLINK("http://www.broadinstitute.org/gsea/msigdb/cards/GOBP_MICROTUBULE_ORGANIZING_CENTER_ORGANIZATION.html","GOBP_MICROTUBULE_ORGANIZING_CENTER_ORGANIZATION")</f>
        <v>GOBP_MICROTUBULE_ORGANIZING_CENTER_ORGANIZATION</v>
      </c>
      <c r="C4983" s="4">
        <v>150</v>
      </c>
      <c r="D4983" s="3">
        <v>-0.91302450000000002</v>
      </c>
      <c r="E4983" s="1">
        <v>0.73801916999999995</v>
      </c>
      <c r="F4983" s="2">
        <v>0.81732349999999998</v>
      </c>
    </row>
    <row r="4984" spans="1:6" x14ac:dyDescent="0.25">
      <c r="A4984" t="s">
        <v>6</v>
      </c>
      <c r="B4984" s="5" t="str">
        <f>HYPERLINK("http://www.broadinstitute.org/gsea/msigdb/cards/GOBP_CELL_PROLIFERATION_INVOLVED_IN_KIDNEY_DEVELOPMENT.html","GOBP_CELL_PROLIFERATION_INVOLVED_IN_KIDNEY_DEVELOPMENT")</f>
        <v>GOBP_CELL_PROLIFERATION_INVOLVED_IN_KIDNEY_DEVELOPMENT</v>
      </c>
      <c r="C4984" s="4">
        <v>21</v>
      </c>
      <c r="D4984" s="3">
        <v>-0.91365969999999996</v>
      </c>
      <c r="E4984" s="1">
        <v>0.58267720000000001</v>
      </c>
      <c r="F4984" s="2">
        <v>0.81606184999999998</v>
      </c>
    </row>
    <row r="4985" spans="1:6" x14ac:dyDescent="0.25">
      <c r="A4985" t="s">
        <v>8</v>
      </c>
      <c r="B4985" s="5" t="str">
        <f>HYPERLINK("http://www.broadinstitute.org/gsea/msigdb/cards/GOMF_RNA_ENDONUCLEASE_ACTIVITY.html","GOMF_RNA_ENDONUCLEASE_ACTIVITY")</f>
        <v>GOMF_RNA_ENDONUCLEASE_ACTIVITY</v>
      </c>
      <c r="C4985" s="4">
        <v>63</v>
      </c>
      <c r="D4985" s="3">
        <v>-0.91369049999999996</v>
      </c>
      <c r="E4985" s="1">
        <v>0.62670300000000001</v>
      </c>
      <c r="F4985" s="2">
        <v>0.81646719999999995</v>
      </c>
    </row>
    <row r="4986" spans="1:6" x14ac:dyDescent="0.25">
      <c r="A4986" t="s">
        <v>6</v>
      </c>
      <c r="B4986" s="5" t="str">
        <f>HYPERLINK("http://www.broadinstitute.org/gsea/msigdb/cards/GOBP_SPERMATID_DIFFERENTIATION.html","GOBP_SPERMATID_DIFFERENTIATION")</f>
        <v>GOBP_SPERMATID_DIFFERENTIATION</v>
      </c>
      <c r="C4986" s="4">
        <v>223</v>
      </c>
      <c r="D4986" s="3">
        <v>-0.91390216000000002</v>
      </c>
      <c r="E4986" s="1">
        <v>0.74642854999999997</v>
      </c>
      <c r="F4986" s="2">
        <v>0.81637746</v>
      </c>
    </row>
    <row r="4987" spans="1:6" x14ac:dyDescent="0.25">
      <c r="A4987" t="s">
        <v>6</v>
      </c>
      <c r="B4987" s="5" t="str">
        <f>HYPERLINK("http://www.broadinstitute.org/gsea/msigdb/cards/GOBP_BRANCHED_CHAIN_AMINO_ACID_METABOLIC_PROCESS.html","GOBP_BRANCHED_CHAIN_AMINO_ACID_METABOLIC_PROCESS")</f>
        <v>GOBP_BRANCHED_CHAIN_AMINO_ACID_METABOLIC_PROCESS</v>
      </c>
      <c r="C4987" s="4">
        <v>24</v>
      </c>
      <c r="D4987" s="3">
        <v>-0.91447573999999998</v>
      </c>
      <c r="E4987" s="1">
        <v>0.59154929999999994</v>
      </c>
      <c r="F4987" s="2">
        <v>0.81524050000000003</v>
      </c>
    </row>
    <row r="4988" spans="1:6" x14ac:dyDescent="0.25">
      <c r="A4988" t="s">
        <v>6</v>
      </c>
      <c r="B4988" s="5" t="str">
        <f>HYPERLINK("http://www.broadinstitute.org/gsea/msigdb/cards/GOBP_SPERMATID_NUCLEUS_DIFFERENTIATION.html","GOBP_SPERMATID_NUCLEUS_DIFFERENTIATION")</f>
        <v>GOBP_SPERMATID_NUCLEUS_DIFFERENTIATION</v>
      </c>
      <c r="C4988" s="4">
        <v>29</v>
      </c>
      <c r="D4988" s="3">
        <v>-0.91490059999999995</v>
      </c>
      <c r="E4988" s="1">
        <v>0.57175399999999998</v>
      </c>
      <c r="F4988" s="2">
        <v>0.81460549999999998</v>
      </c>
    </row>
    <row r="4989" spans="1:6" x14ac:dyDescent="0.25">
      <c r="A4989" t="s">
        <v>7</v>
      </c>
      <c r="B4989" s="5" t="str">
        <f>HYPERLINK("http://www.broadinstitute.org/gsea/msigdb/cards/GOCC_ENZYME_ACTIVATOR_COMPLEX.html","GOCC_ENZYME_ACTIVATOR_COMPLEX")</f>
        <v>GOCC_ENZYME_ACTIVATOR_COMPLEX</v>
      </c>
      <c r="C4989" s="4">
        <v>15</v>
      </c>
      <c r="D4989" s="3">
        <v>-0.91534656000000003</v>
      </c>
      <c r="E4989" s="1">
        <v>0.54892600000000003</v>
      </c>
      <c r="F4989" s="2">
        <v>0.81389690000000003</v>
      </c>
    </row>
    <row r="4990" spans="1:6" x14ac:dyDescent="0.25">
      <c r="A4990" t="s">
        <v>6</v>
      </c>
      <c r="B4990" s="5" t="str">
        <f>HYPERLINK("http://www.broadinstitute.org/gsea/msigdb/cards/GOBP_REGULATION_OF_GASTRULATION.html","GOBP_REGULATION_OF_GASTRULATION")</f>
        <v>GOBP_REGULATION_OF_GASTRULATION</v>
      </c>
      <c r="C4990" s="4">
        <v>18</v>
      </c>
      <c r="D4990" s="3">
        <v>-0.9157554</v>
      </c>
      <c r="E4990" s="1">
        <v>0.57142859999999995</v>
      </c>
      <c r="F4990" s="2">
        <v>0.81325049999999999</v>
      </c>
    </row>
    <row r="4991" spans="1:6" x14ac:dyDescent="0.25">
      <c r="A4991" t="s">
        <v>6</v>
      </c>
      <c r="B4991" s="5" t="str">
        <f>HYPERLINK("http://www.broadinstitute.org/gsea/msigdb/cards/GOBP_REGULATION_OF_PROTEASOMAL_UBIQUITIN_DEPENDENT_PROTEIN_CATABOLIC_PROCESS.html","GOBP_REGULATION_OF_PROTEASOMAL_UBIQUITIN_DEPENDENT_PROTEIN_CATABOLIC_PROCESS")</f>
        <v>GOBP_REGULATION_OF_PROTEASOMAL_UBIQUITIN_DEPENDENT_PROTEIN_CATABOLIC_PROCESS</v>
      </c>
      <c r="C4991" s="4">
        <v>139</v>
      </c>
      <c r="D4991" s="3">
        <v>-0.91599549999999996</v>
      </c>
      <c r="E4991" s="1">
        <v>0.67912775000000003</v>
      </c>
      <c r="F4991" s="2">
        <v>0.81308009999999997</v>
      </c>
    </row>
    <row r="4992" spans="1:6" x14ac:dyDescent="0.25">
      <c r="A4992" t="s">
        <v>6</v>
      </c>
      <c r="B4992" s="5" t="str">
        <f>HYPERLINK("http://www.broadinstitute.org/gsea/msigdb/cards/GOBP_CATECHOLAMINE_UPTAKE.html","GOBP_CATECHOLAMINE_UPTAKE")</f>
        <v>GOBP_CATECHOLAMINE_UPTAKE</v>
      </c>
      <c r="C4992" s="4">
        <v>18</v>
      </c>
      <c r="D4992" s="3">
        <v>-0.91606200000000004</v>
      </c>
      <c r="E4992" s="1">
        <v>0.60810810000000004</v>
      </c>
      <c r="F4992" s="2">
        <v>0.81339980000000001</v>
      </c>
    </row>
    <row r="4993" spans="1:6" x14ac:dyDescent="0.25">
      <c r="A4993" t="s">
        <v>6</v>
      </c>
      <c r="B4993" s="5" t="str">
        <f>HYPERLINK("http://www.broadinstitute.org/gsea/msigdb/cards/GOBP_CONVERGENT_EXTENSION.html","GOBP_CONVERGENT_EXTENSION")</f>
        <v>GOBP_CONVERGENT_EXTENSION</v>
      </c>
      <c r="C4993" s="4">
        <v>16</v>
      </c>
      <c r="D4993" s="3">
        <v>-0.91669089999999998</v>
      </c>
      <c r="E4993" s="1">
        <v>0.53900707000000003</v>
      </c>
      <c r="F4993" s="2">
        <v>0.812141</v>
      </c>
    </row>
    <row r="4994" spans="1:6" x14ac:dyDescent="0.25">
      <c r="A4994" t="s">
        <v>7</v>
      </c>
      <c r="B4994" s="5" t="str">
        <f>HYPERLINK("http://www.broadinstitute.org/gsea/msigdb/cards/GOCC_MICROBODY_MEMBRANE.html","GOCC_MICROBODY_MEMBRANE")</f>
        <v>GOCC_MICROBODY_MEMBRANE</v>
      </c>
      <c r="C4994" s="4">
        <v>47</v>
      </c>
      <c r="D4994" s="3">
        <v>-0.91673859999999996</v>
      </c>
      <c r="E4994" s="1">
        <v>0.60401004999999997</v>
      </c>
      <c r="F4994" s="2">
        <v>0.8125076</v>
      </c>
    </row>
    <row r="4995" spans="1:6" x14ac:dyDescent="0.25">
      <c r="A4995" t="s">
        <v>6</v>
      </c>
      <c r="B4995" s="5" t="str">
        <f>HYPERLINK("http://www.broadinstitute.org/gsea/msigdb/cards/GOBP_RIBOSOMAL_SUBUNIT_EXPORT_FROM_NUCLEUS.html","GOBP_RIBOSOMAL_SUBUNIT_EXPORT_FROM_NUCLEUS")</f>
        <v>GOBP_RIBOSOMAL_SUBUNIT_EXPORT_FROM_NUCLEUS</v>
      </c>
      <c r="C4995" s="4">
        <v>16</v>
      </c>
      <c r="D4995" s="3">
        <v>-0.91701779999999999</v>
      </c>
      <c r="E4995" s="1">
        <v>0.57471262999999995</v>
      </c>
      <c r="F4995" s="2">
        <v>0.81222974999999997</v>
      </c>
    </row>
    <row r="4996" spans="1:6" x14ac:dyDescent="0.25">
      <c r="A4996" t="s">
        <v>6</v>
      </c>
      <c r="B4996" s="5" t="str">
        <f>HYPERLINK("http://www.broadinstitute.org/gsea/msigdb/cards/GOBP_SEX_DIFFERENTIATION.html","GOBP_SEX_DIFFERENTIATION")</f>
        <v>GOBP_SEX_DIFFERENTIATION</v>
      </c>
      <c r="C4996" s="4">
        <v>281</v>
      </c>
      <c r="D4996" s="3">
        <v>-0.91722420000000005</v>
      </c>
      <c r="E4996" s="1">
        <v>0.77822579999999997</v>
      </c>
      <c r="F4996" s="2">
        <v>0.81217470000000003</v>
      </c>
    </row>
    <row r="4997" spans="1:6" x14ac:dyDescent="0.25">
      <c r="A4997" t="s">
        <v>6</v>
      </c>
      <c r="B4997" s="5" t="str">
        <f>HYPERLINK("http://www.broadinstitute.org/gsea/msigdb/cards/GOBP_LENS_DEVELOPMENT_IN_CAMERA_TYPE_EYE.html","GOBP_LENS_DEVELOPMENT_IN_CAMERA_TYPE_EYE")</f>
        <v>GOBP_LENS_DEVELOPMENT_IN_CAMERA_TYPE_EYE</v>
      </c>
      <c r="C4997" s="4">
        <v>87</v>
      </c>
      <c r="D4997" s="3">
        <v>-0.9179792</v>
      </c>
      <c r="E4997" s="1">
        <v>0.66964287</v>
      </c>
      <c r="F4997" s="2">
        <v>0.81056874999999995</v>
      </c>
    </row>
    <row r="4998" spans="1:6" x14ac:dyDescent="0.25">
      <c r="A4998" t="s">
        <v>8</v>
      </c>
      <c r="B4998" s="5" t="str">
        <f>HYPERLINK("http://www.broadinstitute.org/gsea/msigdb/cards/GOMF_PEPTIDE_N_ACETYLTRANSFERASE_ACTIVITY.html","GOMF_PEPTIDE_N_ACETYLTRANSFERASE_ACTIVITY")</f>
        <v>GOMF_PEPTIDE_N_ACETYLTRANSFERASE_ACTIVITY</v>
      </c>
      <c r="C4998" s="4">
        <v>51</v>
      </c>
      <c r="D4998" s="3">
        <v>-0.91803955999999998</v>
      </c>
      <c r="E4998" s="1">
        <v>0.60629920000000004</v>
      </c>
      <c r="F4998" s="2">
        <v>0.8108805</v>
      </c>
    </row>
    <row r="4999" spans="1:6" x14ac:dyDescent="0.25">
      <c r="A4999" t="s">
        <v>8</v>
      </c>
      <c r="B4999" s="5" t="str">
        <f>HYPERLINK("http://www.broadinstitute.org/gsea/msigdb/cards/GOMF_ATP_DEPENDENT_PROTEIN_FOLDING_CHAPERONE.html","GOMF_ATP_DEPENDENT_PROTEIN_FOLDING_CHAPERONE")</f>
        <v>GOMF_ATP_DEPENDENT_PROTEIN_FOLDING_CHAPERONE</v>
      </c>
      <c r="C4999" s="4">
        <v>26</v>
      </c>
      <c r="D4999" s="3">
        <v>-0.91842942999999999</v>
      </c>
      <c r="E4999" s="1">
        <v>0.60930234000000005</v>
      </c>
      <c r="F4999" s="2">
        <v>0.81027716000000005</v>
      </c>
    </row>
    <row r="5000" spans="1:6" x14ac:dyDescent="0.25">
      <c r="A5000" t="s">
        <v>10</v>
      </c>
      <c r="B5000" s="5" t="str">
        <f>HYPERLINK("http://www.broadinstitute.org/gsea/msigdb/cards/REACTOME_LAGGING_STRAND_SYNTHESIS.html","REACTOME_LAGGING_STRAND_SYNTHESIS")</f>
        <v>REACTOME_LAGGING_STRAND_SYNTHESIS</v>
      </c>
      <c r="C5000" s="4">
        <v>19</v>
      </c>
      <c r="D5000" s="3">
        <v>-0.91860249999999999</v>
      </c>
      <c r="E5000" s="1">
        <v>0.57176470000000001</v>
      </c>
      <c r="F5000" s="2">
        <v>0.81027859999999996</v>
      </c>
    </row>
    <row r="5001" spans="1:6" x14ac:dyDescent="0.25">
      <c r="A5001" t="s">
        <v>6</v>
      </c>
      <c r="B5001" s="5" t="str">
        <f>HYPERLINK("http://www.broadinstitute.org/gsea/msigdb/cards/GOBP_TRNA_MODIFICATION.html","GOBP_TRNA_MODIFICATION")</f>
        <v>GOBP_TRNA_MODIFICATION</v>
      </c>
      <c r="C5001" s="4">
        <v>85</v>
      </c>
      <c r="D5001" s="3">
        <v>-0.91883490000000001</v>
      </c>
      <c r="E5001" s="1">
        <v>0.64225350000000003</v>
      </c>
      <c r="F5001" s="2">
        <v>0.81012059999999997</v>
      </c>
    </row>
    <row r="5002" spans="1:6" x14ac:dyDescent="0.25">
      <c r="A5002" t="s">
        <v>5</v>
      </c>
      <c r="B5002" s="5" t="str">
        <f>HYPERLINK("http://www.broadinstitute.org/gsea/msigdb/cards/BIOCARTA_IGF1R_PATHWAY.html","BIOCARTA_IGF1R_PATHWAY")</f>
        <v>BIOCARTA_IGF1R_PATHWAY</v>
      </c>
      <c r="C5002" s="4">
        <v>22</v>
      </c>
      <c r="D5002" s="3">
        <v>-0.91890424000000004</v>
      </c>
      <c r="E5002" s="1">
        <v>0.55787039999999999</v>
      </c>
      <c r="F5002" s="2">
        <v>0.81043259999999995</v>
      </c>
    </row>
    <row r="5003" spans="1:6" x14ac:dyDescent="0.25">
      <c r="A5003" t="s">
        <v>6</v>
      </c>
      <c r="B5003" s="5" t="str">
        <f>HYPERLINK("http://www.broadinstitute.org/gsea/msigdb/cards/GOBP_POSITIVE_REGULATION_OF_CARDIAC_MUSCLE_CELL_PROLIFERATION.html","GOBP_POSITIVE_REGULATION_OF_CARDIAC_MUSCLE_CELL_PROLIFERATION")</f>
        <v>GOBP_POSITIVE_REGULATION_OF_CARDIAC_MUSCLE_CELL_PROLIFERATION</v>
      </c>
      <c r="C5003" s="4">
        <v>29</v>
      </c>
      <c r="D5003" s="3">
        <v>-0.91955229999999999</v>
      </c>
      <c r="E5003" s="1">
        <v>0.5493671</v>
      </c>
      <c r="F5003" s="2">
        <v>0.80914980000000003</v>
      </c>
    </row>
    <row r="5004" spans="1:6" x14ac:dyDescent="0.25">
      <c r="A5004" t="s">
        <v>6</v>
      </c>
      <c r="B5004" s="5" t="str">
        <f>HYPERLINK("http://www.broadinstitute.org/gsea/msigdb/cards/GOBP_TRANSCRIPTION_PREINITIATION_COMPLEX_ASSEMBLY.html","GOBP_TRANSCRIPTION_PREINITIATION_COMPLEX_ASSEMBLY")</f>
        <v>GOBP_TRANSCRIPTION_PREINITIATION_COMPLEX_ASSEMBLY</v>
      </c>
      <c r="C5004" s="4">
        <v>63</v>
      </c>
      <c r="D5004" s="3">
        <v>-0.91966009999999998</v>
      </c>
      <c r="E5004" s="1">
        <v>0.61842109999999995</v>
      </c>
      <c r="F5004" s="2">
        <v>0.80934260000000002</v>
      </c>
    </row>
    <row r="5005" spans="1:6" x14ac:dyDescent="0.25">
      <c r="A5005" t="s">
        <v>11</v>
      </c>
      <c r="B5005" s="5" t="str">
        <f>HYPERLINK("http://www.broadinstitute.org/gsea/msigdb/cards/WP_GLUTATHIONE_METABOLISM.html","WP_GLUTATHIONE_METABOLISM")</f>
        <v>WP_GLUTATHIONE_METABOLISM</v>
      </c>
      <c r="C5005" s="4">
        <v>19</v>
      </c>
      <c r="D5005" s="3">
        <v>-0.91966610000000004</v>
      </c>
      <c r="E5005" s="1">
        <v>0.55714284999999997</v>
      </c>
      <c r="F5005" s="2">
        <v>0.80982770000000004</v>
      </c>
    </row>
    <row r="5006" spans="1:6" x14ac:dyDescent="0.25">
      <c r="A5006" t="s">
        <v>6</v>
      </c>
      <c r="B5006" s="5" t="str">
        <f>HYPERLINK("http://www.broadinstitute.org/gsea/msigdb/cards/GOBP_REGULATION_OF_DNA_RECOMBINATION.html","GOBP_REGULATION_OF_DNA_RECOMBINATION")</f>
        <v>GOBP_REGULATION_OF_DNA_RECOMBINATION</v>
      </c>
      <c r="C5006" s="4">
        <v>130</v>
      </c>
      <c r="D5006" s="3">
        <v>-0.91978099999999996</v>
      </c>
      <c r="E5006" s="1">
        <v>0.66445184000000002</v>
      </c>
      <c r="F5006" s="2">
        <v>0.81000300000000003</v>
      </c>
    </row>
    <row r="5007" spans="1:6" x14ac:dyDescent="0.25">
      <c r="A5007" t="s">
        <v>10</v>
      </c>
      <c r="B5007" s="5" t="str">
        <f>HYPERLINK("http://www.broadinstitute.org/gsea/msigdb/cards/REACTOME_SULFUR_AMINO_ACID_METABOLISM.html","REACTOME_SULFUR_AMINO_ACID_METABOLISM")</f>
        <v>REACTOME_SULFUR_AMINO_ACID_METABOLISM</v>
      </c>
      <c r="C5007" s="4">
        <v>25</v>
      </c>
      <c r="D5007" s="3">
        <v>-0.92045969999999999</v>
      </c>
      <c r="E5007" s="1">
        <v>0.59068626000000002</v>
      </c>
      <c r="F5007" s="2">
        <v>0.80864190000000002</v>
      </c>
    </row>
    <row r="5008" spans="1:6" x14ac:dyDescent="0.25">
      <c r="A5008" t="s">
        <v>6</v>
      </c>
      <c r="B5008" s="5" t="str">
        <f>HYPERLINK("http://www.broadinstitute.org/gsea/msigdb/cards/GOBP_REGULATION_OF_NUCLEAR_TRANSCRIBED_MRNA_CATABOLIC_PROCESS_DEADENYLATION_DEPENDENT_DECAY.html","GOBP_REGULATION_OF_NUCLEAR_TRANSCRIBED_MRNA_CATABOLIC_PROCESS_DEADENYLATION_DEPENDENT_DECAY")</f>
        <v>GOBP_REGULATION_OF_NUCLEAR_TRANSCRIBED_MRNA_CATABOLIC_PROCESS_DEADENYLATION_DEPENDENT_DECAY</v>
      </c>
      <c r="C5008" s="4">
        <v>26</v>
      </c>
      <c r="D5008" s="3">
        <v>-0.92085050000000002</v>
      </c>
      <c r="E5008" s="1">
        <v>0.58560794999999999</v>
      </c>
      <c r="F5008" s="2">
        <v>0.80806659999999997</v>
      </c>
    </row>
    <row r="5009" spans="1:6" x14ac:dyDescent="0.25">
      <c r="A5009" t="s">
        <v>11</v>
      </c>
      <c r="B5009" s="5" t="str">
        <f>HYPERLINK("http://www.broadinstitute.org/gsea/msigdb/cards/WP_HEART_DEVELOPMENT.html","WP_HEART_DEVELOPMENT")</f>
        <v>WP_HEART_DEVELOPMENT</v>
      </c>
      <c r="C5009" s="4">
        <v>42</v>
      </c>
      <c r="D5009" s="3">
        <v>-0.92092085000000001</v>
      </c>
      <c r="E5009" s="1">
        <v>0.62140989999999996</v>
      </c>
      <c r="F5009" s="2">
        <v>0.80836284000000003</v>
      </c>
    </row>
    <row r="5010" spans="1:6" x14ac:dyDescent="0.25">
      <c r="A5010" t="s">
        <v>5</v>
      </c>
      <c r="B5010" s="5" t="str">
        <f>HYPERLINK("http://www.broadinstitute.org/gsea/msigdb/cards/BIOCARTA_NOS1_PATHWAY.html","BIOCARTA_NOS1_PATHWAY")</f>
        <v>BIOCARTA_NOS1_PATHWAY</v>
      </c>
      <c r="C5010" s="4">
        <v>19</v>
      </c>
      <c r="D5010" s="3">
        <v>-0.92096999999999996</v>
      </c>
      <c r="E5010" s="1">
        <v>0.58495145999999998</v>
      </c>
      <c r="F5010" s="2">
        <v>0.80872107000000004</v>
      </c>
    </row>
    <row r="5011" spans="1:6" x14ac:dyDescent="0.25">
      <c r="A5011" t="s">
        <v>6</v>
      </c>
      <c r="B5011" s="5" t="str">
        <f>HYPERLINK("http://www.broadinstitute.org/gsea/msigdb/cards/GOBP_REGULATION_OF_ASTROCYTE_DIFFERENTIATION.html","GOBP_REGULATION_OF_ASTROCYTE_DIFFERENTIATION")</f>
        <v>GOBP_REGULATION_OF_ASTROCYTE_DIFFERENTIATION</v>
      </c>
      <c r="C5011" s="4">
        <v>36</v>
      </c>
      <c r="D5011" s="3">
        <v>-0.92098639999999998</v>
      </c>
      <c r="E5011" s="1">
        <v>0.56079405999999998</v>
      </c>
      <c r="F5011" s="2">
        <v>0.80917375999999996</v>
      </c>
    </row>
    <row r="5012" spans="1:6" x14ac:dyDescent="0.25">
      <c r="A5012" t="s">
        <v>6</v>
      </c>
      <c r="B5012" s="5" t="str">
        <f>HYPERLINK("http://www.broadinstitute.org/gsea/msigdb/cards/GOBP_PROTEIN_PEPTIDYL_PROLYL_ISOMERIZATION.html","GOBP_PROTEIN_PEPTIDYL_PROLYL_ISOMERIZATION")</f>
        <v>GOBP_PROTEIN_PEPTIDYL_PROLYL_ISOMERIZATION</v>
      </c>
      <c r="C5012" s="4">
        <v>24</v>
      </c>
      <c r="D5012" s="3">
        <v>-0.92139596000000001</v>
      </c>
      <c r="E5012" s="1">
        <v>0.57178220000000002</v>
      </c>
      <c r="F5012" s="2">
        <v>0.80854946000000005</v>
      </c>
    </row>
    <row r="5013" spans="1:6" x14ac:dyDescent="0.25">
      <c r="A5013" t="s">
        <v>8</v>
      </c>
      <c r="B5013" s="5" t="str">
        <f>HYPERLINK("http://www.broadinstitute.org/gsea/msigdb/cards/GOMF_SYNTAXIN_1_BINDING.html","GOMF_SYNTAXIN_1_BINDING")</f>
        <v>GOMF_SYNTAXIN_1_BINDING</v>
      </c>
      <c r="C5013" s="4">
        <v>23</v>
      </c>
      <c r="D5013" s="3">
        <v>-0.92143034999999995</v>
      </c>
      <c r="E5013" s="1">
        <v>0.55970149999999996</v>
      </c>
      <c r="F5013" s="2">
        <v>0.80894719999999998</v>
      </c>
    </row>
    <row r="5014" spans="1:6" x14ac:dyDescent="0.25">
      <c r="A5014" t="s">
        <v>6</v>
      </c>
      <c r="B5014" s="5" t="str">
        <f>HYPERLINK("http://www.broadinstitute.org/gsea/msigdb/cards/GOBP_MICROTUBULE_POLYMERIZATION_OR_DEPOLYMERIZATION.html","GOBP_MICROTUBULE_POLYMERIZATION_OR_DEPOLYMERIZATION")</f>
        <v>GOBP_MICROTUBULE_POLYMERIZATION_OR_DEPOLYMERIZATION</v>
      </c>
      <c r="C5014" s="4">
        <v>134</v>
      </c>
      <c r="D5014" s="3">
        <v>-0.92143494000000004</v>
      </c>
      <c r="E5014" s="1">
        <v>0.70125789999999999</v>
      </c>
      <c r="F5014" s="2">
        <v>0.80943719999999997</v>
      </c>
    </row>
    <row r="5015" spans="1:6" x14ac:dyDescent="0.25">
      <c r="A5015" t="s">
        <v>8</v>
      </c>
      <c r="B5015" s="5" t="str">
        <f>HYPERLINK("http://www.broadinstitute.org/gsea/msigdb/cards/GOMF_INTRAMOLECULAR_OXIDOREDUCTASE_ACTIVITY_TRANSPOSING_C_C_BONDS.html","GOMF_INTRAMOLECULAR_OXIDOREDUCTASE_ACTIVITY_TRANSPOSING_C_C_BONDS")</f>
        <v>GOMF_INTRAMOLECULAR_OXIDOREDUCTASE_ACTIVITY_TRANSPOSING_C_C_BONDS</v>
      </c>
      <c r="C5015" s="4">
        <v>16</v>
      </c>
      <c r="D5015" s="3">
        <v>-0.9215892</v>
      </c>
      <c r="E5015" s="1">
        <v>0.53686637000000004</v>
      </c>
      <c r="F5015" s="2">
        <v>0.80951434</v>
      </c>
    </row>
    <row r="5016" spans="1:6" x14ac:dyDescent="0.25">
      <c r="A5016" t="s">
        <v>10</v>
      </c>
      <c r="B5016" s="5" t="str">
        <f>HYPERLINK("http://www.broadinstitute.org/gsea/msigdb/cards/REACTOME_BASE_EXCISION_REPAIR.html","REACTOME_BASE_EXCISION_REPAIR")</f>
        <v>REACTOME_BASE_EXCISION_REPAIR</v>
      </c>
      <c r="C5016" s="4">
        <v>38</v>
      </c>
      <c r="D5016" s="3">
        <v>-0.92173190000000005</v>
      </c>
      <c r="E5016" s="1">
        <v>0.62433859999999997</v>
      </c>
      <c r="F5016" s="2">
        <v>0.80962473000000001</v>
      </c>
    </row>
    <row r="5017" spans="1:6" x14ac:dyDescent="0.25">
      <c r="A5017" t="s">
        <v>5</v>
      </c>
      <c r="B5017" s="5" t="str">
        <f>HYPERLINK("http://www.broadinstitute.org/gsea/msigdb/cards/BIOCARTA_AKT_PATHWAY.html","BIOCARTA_AKT_PATHWAY")</f>
        <v>BIOCARTA_AKT_PATHWAY</v>
      </c>
      <c r="C5017" s="4">
        <v>21</v>
      </c>
      <c r="D5017" s="3">
        <v>-0.92221545999999999</v>
      </c>
      <c r="E5017" s="1">
        <v>0.57244660000000003</v>
      </c>
      <c r="F5017" s="2">
        <v>0.80876219999999999</v>
      </c>
    </row>
    <row r="5018" spans="1:6" x14ac:dyDescent="0.25">
      <c r="A5018" t="s">
        <v>8</v>
      </c>
      <c r="B5018" s="5" t="str">
        <f>HYPERLINK("http://www.broadinstitute.org/gsea/msigdb/cards/GOMF_SUMO_BINDING.html","GOMF_SUMO_BINDING")</f>
        <v>GOMF_SUMO_BINDING</v>
      </c>
      <c r="C5018" s="4">
        <v>18</v>
      </c>
      <c r="D5018" s="3">
        <v>-0.92267200000000005</v>
      </c>
      <c r="E5018" s="1">
        <v>0.54086535999999996</v>
      </c>
      <c r="F5018" s="2">
        <v>0.80796480000000004</v>
      </c>
    </row>
    <row r="5019" spans="1:6" x14ac:dyDescent="0.25">
      <c r="A5019" t="s">
        <v>6</v>
      </c>
      <c r="B5019" s="5" t="str">
        <f>HYPERLINK("http://www.broadinstitute.org/gsea/msigdb/cards/GOBP_NEGATIVE_REGULATION_OF_DNA_REPLICATION.html","GOBP_NEGATIVE_REGULATION_OF_DNA_REPLICATION")</f>
        <v>GOBP_NEGATIVE_REGULATION_OF_DNA_REPLICATION</v>
      </c>
      <c r="C5019" s="4">
        <v>21</v>
      </c>
      <c r="D5019" s="3">
        <v>-0.9228596</v>
      </c>
      <c r="E5019" s="1">
        <v>0.58767769999999997</v>
      </c>
      <c r="F5019" s="2">
        <v>0.80793493999999999</v>
      </c>
    </row>
    <row r="5020" spans="1:6" x14ac:dyDescent="0.25">
      <c r="A5020" t="s">
        <v>10</v>
      </c>
      <c r="B5020" s="5" t="str">
        <f>HYPERLINK("http://www.broadinstitute.org/gsea/msigdb/cards/REACTOME_RESOLUTION_OF_D_LOOP_STRUCTURES.html","REACTOME_RESOLUTION_OF_D_LOOP_STRUCTURES")</f>
        <v>REACTOME_RESOLUTION_OF_D_LOOP_STRUCTURES</v>
      </c>
      <c r="C5020" s="4">
        <v>32</v>
      </c>
      <c r="D5020" s="3">
        <v>-0.92304324999999998</v>
      </c>
      <c r="E5020" s="1">
        <v>0.57142859999999995</v>
      </c>
      <c r="F5020" s="2">
        <v>0.80793950000000003</v>
      </c>
    </row>
    <row r="5021" spans="1:6" x14ac:dyDescent="0.25">
      <c r="A5021" t="s">
        <v>6</v>
      </c>
      <c r="B5021" s="5" t="str">
        <f>HYPERLINK("http://www.broadinstitute.org/gsea/msigdb/cards/GOBP_POSITIVE_REGULATION_OF_ATP_DEPENDENT_ACTIVITY.html","GOBP_POSITIVE_REGULATION_OF_ATP_DEPENDENT_ACTIVITY")</f>
        <v>GOBP_POSITIVE_REGULATION_OF_ATP_DEPENDENT_ACTIVITY</v>
      </c>
      <c r="C5021" s="4">
        <v>45</v>
      </c>
      <c r="D5021" s="3">
        <v>-0.9231644</v>
      </c>
      <c r="E5021" s="1">
        <v>0.58055555999999997</v>
      </c>
      <c r="F5021" s="2">
        <v>0.80811113000000001</v>
      </c>
    </row>
    <row r="5022" spans="1:6" x14ac:dyDescent="0.25">
      <c r="A5022" t="s">
        <v>6</v>
      </c>
      <c r="B5022" s="5" t="str">
        <f>HYPERLINK("http://www.broadinstitute.org/gsea/msigdb/cards/GOBP_SINGLE_STRANDED_VIRAL_RNA_REPLICATION_VIA_DOUBLE_STRANDED_DNA_INTERMEDIATE.html","GOBP_SINGLE_STRANDED_VIRAL_RNA_REPLICATION_VIA_DOUBLE_STRANDED_DNA_INTERMEDIATE")</f>
        <v>GOBP_SINGLE_STRANDED_VIRAL_RNA_REPLICATION_VIA_DOUBLE_STRANDED_DNA_INTERMEDIATE</v>
      </c>
      <c r="C5022" s="4">
        <v>15</v>
      </c>
      <c r="D5022" s="3">
        <v>-0.92360509999999996</v>
      </c>
      <c r="E5022" s="1">
        <v>0.54195009999999999</v>
      </c>
      <c r="F5022" s="2">
        <v>0.80735590000000002</v>
      </c>
    </row>
    <row r="5023" spans="1:6" x14ac:dyDescent="0.25">
      <c r="A5023" t="s">
        <v>6</v>
      </c>
      <c r="B5023" s="5" t="str">
        <f>HYPERLINK("http://www.broadinstitute.org/gsea/msigdb/cards/GOBP_RESPONSE_TO_AUDITORY_STIMULUS.html","GOBP_RESPONSE_TO_AUDITORY_STIMULUS")</f>
        <v>GOBP_RESPONSE_TO_AUDITORY_STIMULUS</v>
      </c>
      <c r="C5023" s="4">
        <v>29</v>
      </c>
      <c r="D5023" s="3">
        <v>-0.92365485000000003</v>
      </c>
      <c r="E5023" s="1">
        <v>0.58852870000000002</v>
      </c>
      <c r="F5023" s="2">
        <v>0.80771506000000004</v>
      </c>
    </row>
    <row r="5024" spans="1:6" x14ac:dyDescent="0.25">
      <c r="A5024" t="s">
        <v>6</v>
      </c>
      <c r="B5024" s="5" t="str">
        <f>HYPERLINK("http://www.broadinstitute.org/gsea/msigdb/cards/GOBP_STARTLE_RESPONSE.html","GOBP_STARTLE_RESPONSE")</f>
        <v>GOBP_STARTLE_RESPONSE</v>
      </c>
      <c r="C5024" s="4">
        <v>39</v>
      </c>
      <c r="D5024" s="3">
        <v>-0.9242245</v>
      </c>
      <c r="E5024" s="1">
        <v>0.61029409999999995</v>
      </c>
      <c r="F5024" s="2">
        <v>0.80660209999999999</v>
      </c>
    </row>
    <row r="5025" spans="1:6" x14ac:dyDescent="0.25">
      <c r="A5025" t="s">
        <v>6</v>
      </c>
      <c r="B5025" s="5" t="str">
        <f>HYPERLINK("http://www.broadinstitute.org/gsea/msigdb/cards/GOBP_RESPONSE_TO_FOOD.html","GOBP_RESPONSE_TO_FOOD")</f>
        <v>GOBP_RESPONSE_TO_FOOD</v>
      </c>
      <c r="C5025" s="4">
        <v>36</v>
      </c>
      <c r="D5025" s="3">
        <v>-0.92438065999999997</v>
      </c>
      <c r="E5025" s="1">
        <v>0.59137059999999997</v>
      </c>
      <c r="F5025" s="2">
        <v>0.80665430000000005</v>
      </c>
    </row>
    <row r="5026" spans="1:6" x14ac:dyDescent="0.25">
      <c r="A5026" t="s">
        <v>8</v>
      </c>
      <c r="B5026" s="5" t="str">
        <f>HYPERLINK("http://www.broadinstitute.org/gsea/msigdb/cards/GOMF_CALCIUM_ION_TRANSMEMBRANE_TRANSPORTER_ACTIVITY.html","GOMF_CALCIUM_ION_TRANSMEMBRANE_TRANSPORTER_ACTIVITY")</f>
        <v>GOMF_CALCIUM_ION_TRANSMEMBRANE_TRANSPORTER_ACTIVITY</v>
      </c>
      <c r="C5026" s="4">
        <v>129</v>
      </c>
      <c r="D5026" s="3">
        <v>-0.92469380000000001</v>
      </c>
      <c r="E5026" s="1">
        <v>0.67964069999999999</v>
      </c>
      <c r="F5026" s="2">
        <v>0.80627780000000004</v>
      </c>
    </row>
    <row r="5027" spans="1:6" x14ac:dyDescent="0.25">
      <c r="A5027" t="s">
        <v>5</v>
      </c>
      <c r="B5027" s="5" t="str">
        <f>HYPERLINK("http://www.broadinstitute.org/gsea/msigdb/cards/BIOCARTA_RHO_PATHWAY.html","BIOCARTA_RHO_PATHWAY")</f>
        <v>BIOCARTA_RHO_PATHWAY</v>
      </c>
      <c r="C5027" s="4">
        <v>20</v>
      </c>
      <c r="D5027" s="3">
        <v>-0.92479723999999996</v>
      </c>
      <c r="E5027" s="1">
        <v>0.56294537</v>
      </c>
      <c r="F5027" s="2">
        <v>0.80647813999999995</v>
      </c>
    </row>
    <row r="5028" spans="1:6" x14ac:dyDescent="0.25">
      <c r="A5028" t="s">
        <v>7</v>
      </c>
      <c r="B5028" s="5" t="str">
        <f>HYPERLINK("http://www.broadinstitute.org/gsea/msigdb/cards/GOCC_CLEAVAGE_FURROW.html","GOCC_CLEAVAGE_FURROW")</f>
        <v>GOCC_CLEAVAGE_FURROW</v>
      </c>
      <c r="C5028" s="4">
        <v>40</v>
      </c>
      <c r="D5028" s="3">
        <v>-0.9248748</v>
      </c>
      <c r="E5028" s="1">
        <v>0.56763923000000005</v>
      </c>
      <c r="F5028" s="2">
        <v>0.80676879999999995</v>
      </c>
    </row>
    <row r="5029" spans="1:6" x14ac:dyDescent="0.25">
      <c r="A5029" t="s">
        <v>7</v>
      </c>
      <c r="B5029" s="5" t="str">
        <f>HYPERLINK("http://www.broadinstitute.org/gsea/msigdb/cards/GOCC_NEURON_PROJECTION_MEMBRANE.html","GOCC_NEURON_PROJECTION_MEMBRANE")</f>
        <v>GOCC_NEURON_PROJECTION_MEMBRANE</v>
      </c>
      <c r="C5029" s="4">
        <v>69</v>
      </c>
      <c r="D5029" s="3">
        <v>-0.92523617000000002</v>
      </c>
      <c r="E5029" s="1">
        <v>0.59840420000000005</v>
      </c>
      <c r="F5029" s="2">
        <v>0.80621827000000001</v>
      </c>
    </row>
    <row r="5030" spans="1:6" x14ac:dyDescent="0.25">
      <c r="A5030" t="s">
        <v>7</v>
      </c>
      <c r="B5030" s="5" t="str">
        <f>HYPERLINK("http://www.broadinstitute.org/gsea/msigdb/cards/GOCC_SEX_CHROMOSOME.html","GOCC_SEX_CHROMOSOME")</f>
        <v>GOCC_SEX_CHROMOSOME</v>
      </c>
      <c r="C5030" s="4">
        <v>41</v>
      </c>
      <c r="D5030" s="3">
        <v>-0.92550339999999998</v>
      </c>
      <c r="E5030" s="1">
        <v>0.58472555999999998</v>
      </c>
      <c r="F5030" s="2">
        <v>0.80598544999999999</v>
      </c>
    </row>
    <row r="5031" spans="1:6" x14ac:dyDescent="0.25">
      <c r="A5031" t="s">
        <v>6</v>
      </c>
      <c r="B5031" s="5" t="str">
        <f>HYPERLINK("http://www.broadinstitute.org/gsea/msigdb/cards/GOBP_POSITIVE_REGULATION_OF_CELLULAR_RESPIRATION.html","GOBP_POSITIVE_REGULATION_OF_CELLULAR_RESPIRATION")</f>
        <v>GOBP_POSITIVE_REGULATION_OF_CELLULAR_RESPIRATION</v>
      </c>
      <c r="C5031" s="4">
        <v>25</v>
      </c>
      <c r="D5031" s="3">
        <v>-0.92563669999999998</v>
      </c>
      <c r="E5031" s="1">
        <v>0.60552764000000003</v>
      </c>
      <c r="F5031" s="2">
        <v>0.80609684999999998</v>
      </c>
    </row>
    <row r="5032" spans="1:6" x14ac:dyDescent="0.25">
      <c r="A5032" t="s">
        <v>6</v>
      </c>
      <c r="B5032" s="5" t="str">
        <f>HYPERLINK("http://www.broadinstitute.org/gsea/msigdb/cards/GOBP_CARDIAC_MUSCLE_CELL_CONTRACTION.html","GOBP_CARDIAC_MUSCLE_CELL_CONTRACTION")</f>
        <v>GOBP_CARDIAC_MUSCLE_CELL_CONTRACTION</v>
      </c>
      <c r="C5032" s="4">
        <v>71</v>
      </c>
      <c r="D5032" s="3">
        <v>-0.92585200000000001</v>
      </c>
      <c r="E5032" s="1">
        <v>0.6</v>
      </c>
      <c r="F5032" s="2">
        <v>0.80599620000000005</v>
      </c>
    </row>
    <row r="5033" spans="1:6" x14ac:dyDescent="0.25">
      <c r="A5033" t="s">
        <v>10</v>
      </c>
      <c r="B5033" s="5" t="str">
        <f>HYPERLINK("http://www.broadinstitute.org/gsea/msigdb/cards/REACTOME_SIGNALING_BY_INSULIN_RECEPTOR.html","REACTOME_SIGNALING_BY_INSULIN_RECEPTOR")</f>
        <v>REACTOME_SIGNALING_BY_INSULIN_RECEPTOR</v>
      </c>
      <c r="C5033" s="4">
        <v>72</v>
      </c>
      <c r="D5033" s="3">
        <v>-0.92686460000000004</v>
      </c>
      <c r="E5033" s="1">
        <v>0.59206800000000004</v>
      </c>
      <c r="F5033" s="2">
        <v>0.80364024999999994</v>
      </c>
    </row>
    <row r="5034" spans="1:6" x14ac:dyDescent="0.25">
      <c r="A5034" t="s">
        <v>7</v>
      </c>
      <c r="B5034" s="5" t="str">
        <f>HYPERLINK("http://www.broadinstitute.org/gsea/msigdb/cards/GOCC_PERIKARYON.html","GOCC_PERIKARYON")</f>
        <v>GOCC_PERIKARYON</v>
      </c>
      <c r="C5034" s="4">
        <v>147</v>
      </c>
      <c r="D5034" s="3">
        <v>-0.92729209999999995</v>
      </c>
      <c r="E5034" s="1">
        <v>0.68013464999999995</v>
      </c>
      <c r="F5034" s="2">
        <v>0.80295280000000002</v>
      </c>
    </row>
    <row r="5035" spans="1:6" x14ac:dyDescent="0.25">
      <c r="A5035" t="s">
        <v>6</v>
      </c>
      <c r="B5035" s="5" t="str">
        <f>HYPERLINK("http://www.broadinstitute.org/gsea/msigdb/cards/GOBP_DETERMINATION_OF_ADULT_LIFESPAN.html","GOBP_DETERMINATION_OF_ADULT_LIFESPAN")</f>
        <v>GOBP_DETERMINATION_OF_ADULT_LIFESPAN</v>
      </c>
      <c r="C5035" s="4">
        <v>48</v>
      </c>
      <c r="D5035" s="3">
        <v>-0.92730809999999997</v>
      </c>
      <c r="E5035" s="1">
        <v>0.59366757000000003</v>
      </c>
      <c r="F5035" s="2">
        <v>0.80341594999999999</v>
      </c>
    </row>
    <row r="5036" spans="1:6" x14ac:dyDescent="0.25">
      <c r="A5036" t="s">
        <v>6</v>
      </c>
      <c r="B5036" s="5" t="str">
        <f>HYPERLINK("http://www.broadinstitute.org/gsea/msigdb/cards/GOBP_CHEMOSENSORY_BEHAVIOR.html","GOBP_CHEMOSENSORY_BEHAVIOR")</f>
        <v>GOBP_CHEMOSENSORY_BEHAVIOR</v>
      </c>
      <c r="C5036" s="4">
        <v>22</v>
      </c>
      <c r="D5036" s="3">
        <v>-0.92778910000000003</v>
      </c>
      <c r="E5036" s="1">
        <v>0.57605989999999996</v>
      </c>
      <c r="F5036" s="2">
        <v>0.80254250000000005</v>
      </c>
    </row>
    <row r="5037" spans="1:6" x14ac:dyDescent="0.25">
      <c r="A5037" t="s">
        <v>7</v>
      </c>
      <c r="B5037" s="5" t="str">
        <f>HYPERLINK("http://www.broadinstitute.org/gsea/msigdb/cards/GOCC_SYNAPTIC_VESICLE_MEMBRANE.html","GOCC_SYNAPTIC_VESICLE_MEMBRANE")</f>
        <v>GOCC_SYNAPTIC_VESICLE_MEMBRANE</v>
      </c>
      <c r="C5037" s="4">
        <v>145</v>
      </c>
      <c r="D5037" s="3">
        <v>-0.92791239999999997</v>
      </c>
      <c r="E5037" s="1">
        <v>0.67283950000000003</v>
      </c>
      <c r="F5037" s="2">
        <v>0.80268519999999999</v>
      </c>
    </row>
    <row r="5038" spans="1:6" x14ac:dyDescent="0.25">
      <c r="A5038" t="s">
        <v>10</v>
      </c>
      <c r="B5038" s="5" t="str">
        <f>HYPERLINK("http://www.broadinstitute.org/gsea/msigdb/cards/REACTOME_INTRAFLAGELLAR_TRANSPORT.html","REACTOME_INTRAFLAGELLAR_TRANSPORT")</f>
        <v>REACTOME_INTRAFLAGELLAR_TRANSPORT</v>
      </c>
      <c r="C5038" s="4">
        <v>52</v>
      </c>
      <c r="D5038" s="3">
        <v>-0.92820674000000003</v>
      </c>
      <c r="E5038" s="1">
        <v>0.57614213000000003</v>
      </c>
      <c r="F5038" s="2">
        <v>0.80232009999999998</v>
      </c>
    </row>
    <row r="5039" spans="1:6" x14ac:dyDescent="0.25">
      <c r="A5039" t="s">
        <v>6</v>
      </c>
      <c r="B5039" s="5" t="str">
        <f>HYPERLINK("http://www.broadinstitute.org/gsea/msigdb/cards/GOBP_MITOTIC_NUCLEAR_DIVISION.html","GOBP_MITOTIC_NUCLEAR_DIVISION")</f>
        <v>GOBP_MITOTIC_NUCLEAR_DIVISION</v>
      </c>
      <c r="C5039" s="4">
        <v>257</v>
      </c>
      <c r="D5039" s="3">
        <v>-0.92945880000000003</v>
      </c>
      <c r="E5039" s="1">
        <v>0.6694215</v>
      </c>
      <c r="F5039" s="2">
        <v>0.79922890000000002</v>
      </c>
    </row>
    <row r="5040" spans="1:6" x14ac:dyDescent="0.25">
      <c r="A5040" t="s">
        <v>6</v>
      </c>
      <c r="B5040" s="5" t="str">
        <f>HYPERLINK("http://www.broadinstitute.org/gsea/msigdb/cards/GOBP_NEGATIVE_REGULATION_OF_MRNA_METABOLIC_PROCESS.html","GOBP_NEGATIVE_REGULATION_OF_MRNA_METABOLIC_PROCESS")</f>
        <v>GOBP_NEGATIVE_REGULATION_OF_MRNA_METABOLIC_PROCESS</v>
      </c>
      <c r="C5040" s="4">
        <v>95</v>
      </c>
      <c r="D5040" s="3">
        <v>-0.92957290000000004</v>
      </c>
      <c r="E5040" s="1">
        <v>0.64110429999999996</v>
      </c>
      <c r="F5040" s="2">
        <v>0.79941289999999998</v>
      </c>
    </row>
    <row r="5041" spans="1:6" x14ac:dyDescent="0.25">
      <c r="A5041" t="s">
        <v>8</v>
      </c>
      <c r="B5041" s="5" t="str">
        <f>HYPERLINK("http://www.broadinstitute.org/gsea/msigdb/cards/GOMF_DNA_BINDING_BENDING.html","GOMF_DNA_BINDING_BENDING")</f>
        <v>GOMF_DNA_BINDING_BENDING</v>
      </c>
      <c r="C5041" s="4">
        <v>15</v>
      </c>
      <c r="D5041" s="3">
        <v>-0.93038500000000002</v>
      </c>
      <c r="E5041" s="1">
        <v>0.54022985999999995</v>
      </c>
      <c r="F5041" s="2">
        <v>0.79760059999999999</v>
      </c>
    </row>
    <row r="5042" spans="1:6" x14ac:dyDescent="0.25">
      <c r="A5042" t="s">
        <v>6</v>
      </c>
      <c r="B5042" s="5" t="str">
        <f>HYPERLINK("http://www.broadinstitute.org/gsea/msigdb/cards/GOBP_RESPONSE_TO_PHEROMONE.html","GOBP_RESPONSE_TO_PHEROMONE")</f>
        <v>GOBP_RESPONSE_TO_PHEROMONE</v>
      </c>
      <c r="C5042" s="4">
        <v>18</v>
      </c>
      <c r="D5042" s="3">
        <v>-0.93047637000000005</v>
      </c>
      <c r="E5042" s="1">
        <v>0.55555560000000004</v>
      </c>
      <c r="F5042" s="2">
        <v>0.7978442</v>
      </c>
    </row>
    <row r="5043" spans="1:6" x14ac:dyDescent="0.25">
      <c r="A5043" t="s">
        <v>6</v>
      </c>
      <c r="B5043" s="5" t="str">
        <f>HYPERLINK("http://www.broadinstitute.org/gsea/msigdb/cards/GOBP_REGULATION_OF_MITOTIC_NUCLEAR_DIVISION.html","GOBP_REGULATION_OF_MITOTIC_NUCLEAR_DIVISION")</f>
        <v>GOBP_REGULATION_OF_MITOTIC_NUCLEAR_DIVISION</v>
      </c>
      <c r="C5043" s="4">
        <v>113</v>
      </c>
      <c r="D5043" s="3">
        <v>-0.93068479999999998</v>
      </c>
      <c r="E5043" s="1">
        <v>0.61494254999999998</v>
      </c>
      <c r="F5043" s="2">
        <v>0.79774310000000004</v>
      </c>
    </row>
    <row r="5044" spans="1:6" x14ac:dyDescent="0.25">
      <c r="A5044" t="s">
        <v>6</v>
      </c>
      <c r="B5044" s="5" t="str">
        <f>HYPERLINK("http://www.broadinstitute.org/gsea/msigdb/cards/GOBP_REGULATION_OF_PROTEIN_KINASE_A_SIGNALING.html","GOBP_REGULATION_OF_PROTEIN_KINASE_A_SIGNALING")</f>
        <v>GOBP_REGULATION_OF_PROTEIN_KINASE_A_SIGNALING</v>
      </c>
      <c r="C5044" s="4">
        <v>23</v>
      </c>
      <c r="D5044" s="3">
        <v>-0.93120944000000005</v>
      </c>
      <c r="E5044" s="1">
        <v>0.53026633999999995</v>
      </c>
      <c r="F5044" s="2">
        <v>0.79673855999999998</v>
      </c>
    </row>
    <row r="5045" spans="1:6" x14ac:dyDescent="0.25">
      <c r="A5045" t="s">
        <v>6</v>
      </c>
      <c r="B5045" s="5" t="str">
        <f>HYPERLINK("http://www.broadinstitute.org/gsea/msigdb/cards/GOBP_REGULATION_OF_SYNAPSE_ASSEMBLY.html","GOBP_REGULATION_OF_SYNAPSE_ASSEMBLY")</f>
        <v>GOBP_REGULATION_OF_SYNAPSE_ASSEMBLY</v>
      </c>
      <c r="C5045" s="4">
        <v>143</v>
      </c>
      <c r="D5045" s="3">
        <v>-0.93147489999999999</v>
      </c>
      <c r="E5045" s="1">
        <v>0.68561875999999999</v>
      </c>
      <c r="F5045" s="2">
        <v>0.79648613999999995</v>
      </c>
    </row>
    <row r="5046" spans="1:6" x14ac:dyDescent="0.25">
      <c r="A5046" t="s">
        <v>7</v>
      </c>
      <c r="B5046" s="5" t="str">
        <f>HYPERLINK("http://www.broadinstitute.org/gsea/msigdb/cards/GOCC_CENTRIOLE.html","GOCC_CENTRIOLE")</f>
        <v>GOCC_CENTRIOLE</v>
      </c>
      <c r="C5046" s="4">
        <v>135</v>
      </c>
      <c r="D5046" s="3">
        <v>-0.93203384</v>
      </c>
      <c r="E5046" s="1">
        <v>0.64970059999999996</v>
      </c>
      <c r="F5046" s="2">
        <v>0.79542749999999995</v>
      </c>
    </row>
    <row r="5047" spans="1:6" x14ac:dyDescent="0.25">
      <c r="A5047" t="s">
        <v>6</v>
      </c>
      <c r="B5047" s="5" t="str">
        <f>HYPERLINK("http://www.broadinstitute.org/gsea/msigdb/cards/GOBP_INTRACELLULAR_GLUCOSE_HOMEOSTASIS.html","GOBP_INTRACELLULAR_GLUCOSE_HOMEOSTASIS")</f>
        <v>GOBP_INTRACELLULAR_GLUCOSE_HOMEOSTASIS</v>
      </c>
      <c r="C5047" s="4">
        <v>162</v>
      </c>
      <c r="D5047" s="3">
        <v>-0.93267876000000005</v>
      </c>
      <c r="E5047" s="1">
        <v>0.67515919999999996</v>
      </c>
      <c r="F5047" s="2">
        <v>0.79403279999999998</v>
      </c>
    </row>
    <row r="5048" spans="1:6" x14ac:dyDescent="0.25">
      <c r="A5048" t="s">
        <v>6</v>
      </c>
      <c r="B5048" s="5" t="str">
        <f>HYPERLINK("http://www.broadinstitute.org/gsea/msigdb/cards/GOBP_MEMBRANE_DEPOLARIZATION_DURING_CARDIAC_MUSCLE_CELL_ACTION_POTENTIAL.html","GOBP_MEMBRANE_DEPOLARIZATION_DURING_CARDIAC_MUSCLE_CELL_ACTION_POTENTIAL")</f>
        <v>GOBP_MEMBRANE_DEPOLARIZATION_DURING_CARDIAC_MUSCLE_CELL_ACTION_POTENTIAL</v>
      </c>
      <c r="C5048" s="4">
        <v>17</v>
      </c>
      <c r="D5048" s="3">
        <v>-0.93276345999999999</v>
      </c>
      <c r="E5048" s="1">
        <v>0.53086420000000001</v>
      </c>
      <c r="F5048" s="2">
        <v>0.79427590000000003</v>
      </c>
    </row>
    <row r="5049" spans="1:6" x14ac:dyDescent="0.25">
      <c r="A5049" t="s">
        <v>6</v>
      </c>
      <c r="B5049" s="5" t="str">
        <f>HYPERLINK("http://www.broadinstitute.org/gsea/msigdb/cards/GOBP_CENTRIOLE_ASSEMBLY.html","GOBP_CENTRIOLE_ASSEMBLY")</f>
        <v>GOBP_CENTRIOLE_ASSEMBLY</v>
      </c>
      <c r="C5049" s="4">
        <v>46</v>
      </c>
      <c r="D5049" s="3">
        <v>-0.93361366000000001</v>
      </c>
      <c r="E5049" s="1">
        <v>0.61621623999999997</v>
      </c>
      <c r="F5049" s="2">
        <v>0.79234123000000001</v>
      </c>
    </row>
    <row r="5050" spans="1:6" x14ac:dyDescent="0.25">
      <c r="A5050" t="s">
        <v>6</v>
      </c>
      <c r="B5050" s="5" t="str">
        <f>HYPERLINK("http://www.broadinstitute.org/gsea/msigdb/cards/GOBP_MITOCHONDRION_DISTRIBUTION.html","GOBP_MITOCHONDRION_DISTRIBUTION")</f>
        <v>GOBP_MITOCHONDRION_DISTRIBUTION</v>
      </c>
      <c r="C5050" s="4">
        <v>26</v>
      </c>
      <c r="D5050" s="3">
        <v>-0.93361899999999998</v>
      </c>
      <c r="E5050" s="1">
        <v>0.56122446000000004</v>
      </c>
      <c r="F5050" s="2">
        <v>0.79282825999999995</v>
      </c>
    </row>
    <row r="5051" spans="1:6" x14ac:dyDescent="0.25">
      <c r="A5051" t="s">
        <v>6</v>
      </c>
      <c r="B5051" s="5" t="str">
        <f>HYPERLINK("http://www.broadinstitute.org/gsea/msigdb/cards/GOBP_ATRIAL_SEPTUM_DEVELOPMENT.html","GOBP_ATRIAL_SEPTUM_DEVELOPMENT")</f>
        <v>GOBP_ATRIAL_SEPTUM_DEVELOPMENT</v>
      </c>
      <c r="C5051" s="4">
        <v>22</v>
      </c>
      <c r="D5051" s="3">
        <v>-0.93379400000000001</v>
      </c>
      <c r="E5051" s="1">
        <v>0.53846156999999994</v>
      </c>
      <c r="F5051" s="2">
        <v>0.79281950000000001</v>
      </c>
    </row>
    <row r="5052" spans="1:6" x14ac:dyDescent="0.25">
      <c r="A5052" t="s">
        <v>6</v>
      </c>
      <c r="B5052" s="5" t="str">
        <f>HYPERLINK("http://www.broadinstitute.org/gsea/msigdb/cards/GOBP_CRISTAE_FORMATION.html","GOBP_CRISTAE_FORMATION")</f>
        <v>GOBP_CRISTAE_FORMATION</v>
      </c>
      <c r="C5052" s="4">
        <v>18</v>
      </c>
      <c r="D5052" s="3">
        <v>-0.93417079999999997</v>
      </c>
      <c r="E5052" s="1">
        <v>0.56887759999999998</v>
      </c>
      <c r="F5052" s="2">
        <v>0.79221034000000001</v>
      </c>
    </row>
    <row r="5053" spans="1:6" x14ac:dyDescent="0.25">
      <c r="A5053" t="s">
        <v>6</v>
      </c>
      <c r="B5053" s="5" t="str">
        <f>HYPERLINK("http://www.broadinstitute.org/gsea/msigdb/cards/GOBP_POSITIVE_REGULATION_OF_SYNAPTIC_TRANSMISSION.html","GOBP_POSITIVE_REGULATION_OF_SYNAPTIC_TRANSMISSION")</f>
        <v>GOBP_POSITIVE_REGULATION_OF_SYNAPTIC_TRANSMISSION</v>
      </c>
      <c r="C5053" s="4">
        <v>201</v>
      </c>
      <c r="D5053" s="3">
        <v>-0.93489665</v>
      </c>
      <c r="E5053" s="1">
        <v>0.67003369999999995</v>
      </c>
      <c r="F5053" s="2">
        <v>0.79057330000000003</v>
      </c>
    </row>
    <row r="5054" spans="1:6" x14ac:dyDescent="0.25">
      <c r="A5054" t="s">
        <v>6</v>
      </c>
      <c r="B5054" s="5" t="str">
        <f>HYPERLINK("http://www.broadinstitute.org/gsea/msigdb/cards/GOBP_NEGATIVE_REGULATION_OF_NERVOUS_SYSTEM_DEVELOPMENT.html","GOBP_NEGATIVE_REGULATION_OF_NERVOUS_SYSTEM_DEVELOPMENT")</f>
        <v>GOBP_NEGATIVE_REGULATION_OF_NERVOUS_SYSTEM_DEVELOPMENT</v>
      </c>
      <c r="C5054" s="4">
        <v>181</v>
      </c>
      <c r="D5054" s="3">
        <v>-0.93511610000000001</v>
      </c>
      <c r="E5054" s="1">
        <v>0.69</v>
      </c>
      <c r="F5054" s="2">
        <v>0.79044270000000005</v>
      </c>
    </row>
    <row r="5055" spans="1:6" x14ac:dyDescent="0.25">
      <c r="A5055" t="s">
        <v>6</v>
      </c>
      <c r="B5055" s="5" t="str">
        <f>HYPERLINK("http://www.broadinstitute.org/gsea/msigdb/cards/GOBP_MORPHOGENESIS_OF_AN_EPITHELIAL_BUD.html","GOBP_MORPHOGENESIS_OF_AN_EPITHELIAL_BUD")</f>
        <v>GOBP_MORPHOGENESIS_OF_AN_EPITHELIAL_BUD</v>
      </c>
      <c r="C5055" s="4">
        <v>18</v>
      </c>
      <c r="D5055" s="3">
        <v>-0.93564990000000003</v>
      </c>
      <c r="E5055" s="1">
        <v>0.53409094000000001</v>
      </c>
      <c r="F5055" s="2">
        <v>0.78941490000000003</v>
      </c>
    </row>
    <row r="5056" spans="1:6" x14ac:dyDescent="0.25">
      <c r="A5056" t="s">
        <v>6</v>
      </c>
      <c r="B5056" s="5" t="str">
        <f>HYPERLINK("http://www.broadinstitute.org/gsea/msigdb/cards/GOBP_PEROXISOME_ORGANIZATION.html","GOBP_PEROXISOME_ORGANIZATION")</f>
        <v>GOBP_PEROXISOME_ORGANIZATION</v>
      </c>
      <c r="C5056" s="4">
        <v>38</v>
      </c>
      <c r="D5056" s="3">
        <v>-0.93579155000000003</v>
      </c>
      <c r="E5056" s="1">
        <v>0.55500000000000005</v>
      </c>
      <c r="F5056" s="2">
        <v>0.78951789999999999</v>
      </c>
    </row>
    <row r="5057" spans="1:6" x14ac:dyDescent="0.25">
      <c r="A5057" t="s">
        <v>6</v>
      </c>
      <c r="B5057" s="5" t="str">
        <f>HYPERLINK("http://www.broadinstitute.org/gsea/msigdb/cards/GOBP_NEGATIVE_REGULATION_OF_CHROMOSOME_ORGANIZATION.html","GOBP_NEGATIVE_REGULATION_OF_CHROMOSOME_ORGANIZATION")</f>
        <v>GOBP_NEGATIVE_REGULATION_OF_CHROMOSOME_ORGANIZATION</v>
      </c>
      <c r="C5057" s="4">
        <v>95</v>
      </c>
      <c r="D5057" s="3">
        <v>-0.93610130000000003</v>
      </c>
      <c r="E5057" s="1">
        <v>0.62359549999999997</v>
      </c>
      <c r="F5057" s="2">
        <v>0.78909885999999996</v>
      </c>
    </row>
    <row r="5058" spans="1:6" x14ac:dyDescent="0.25">
      <c r="A5058" t="s">
        <v>8</v>
      </c>
      <c r="B5058" s="5" t="str">
        <f>HYPERLINK("http://www.broadinstitute.org/gsea/msigdb/cards/GOMF_PROTEIN_SERINE_THREONINE_PHOSPHATASE_ACTIVITY.html","GOMF_PROTEIN_SERINE_THREONINE_PHOSPHATASE_ACTIVITY")</f>
        <v>GOMF_PROTEIN_SERINE_THREONINE_PHOSPHATASE_ACTIVITY</v>
      </c>
      <c r="C5058" s="4">
        <v>79</v>
      </c>
      <c r="D5058" s="3">
        <v>-0.93631255999999996</v>
      </c>
      <c r="E5058" s="1">
        <v>0.59358286999999998</v>
      </c>
      <c r="F5058" s="2">
        <v>0.78899779999999997</v>
      </c>
    </row>
    <row r="5059" spans="1:6" x14ac:dyDescent="0.25">
      <c r="A5059" t="s">
        <v>6</v>
      </c>
      <c r="B5059" s="5" t="str">
        <f>HYPERLINK("http://www.broadinstitute.org/gsea/msigdb/cards/GOBP_REGULATION_OF_PROTEIN_ACETYLATION.html","GOBP_REGULATION_OF_PROTEIN_ACETYLATION")</f>
        <v>GOBP_REGULATION_OF_PROTEIN_ACETYLATION</v>
      </c>
      <c r="C5059" s="4">
        <v>43</v>
      </c>
      <c r="D5059" s="3">
        <v>-0.93704944999999995</v>
      </c>
      <c r="E5059" s="1">
        <v>0.57493185999999996</v>
      </c>
      <c r="F5059" s="2">
        <v>0.78737310000000005</v>
      </c>
    </row>
    <row r="5060" spans="1:6" x14ac:dyDescent="0.25">
      <c r="A5060" t="s">
        <v>7</v>
      </c>
      <c r="B5060" s="5" t="str">
        <f>HYPERLINK("http://www.broadinstitute.org/gsea/msigdb/cards/GOCC_9PLUS2_MOTILE_CILIUM.html","GOCC_9PLUS2_MOTILE_CILIUM")</f>
        <v>GOCC_9PLUS2_MOTILE_CILIUM</v>
      </c>
      <c r="C5060" s="4">
        <v>198</v>
      </c>
      <c r="D5060" s="3">
        <v>-0.93761240000000001</v>
      </c>
      <c r="E5060" s="1">
        <v>0.65827340000000001</v>
      </c>
      <c r="F5060" s="2">
        <v>0.78619879999999998</v>
      </c>
    </row>
    <row r="5061" spans="1:6" x14ac:dyDescent="0.25">
      <c r="A5061" t="s">
        <v>6</v>
      </c>
      <c r="B5061" s="5" t="str">
        <f>HYPERLINK("http://www.broadinstitute.org/gsea/msigdb/cards/GOBP_ENDOCRINE_PANCREAS_DEVELOPMENT.html","GOBP_ENDOCRINE_PANCREAS_DEVELOPMENT")</f>
        <v>GOBP_ENDOCRINE_PANCREAS_DEVELOPMENT</v>
      </c>
      <c r="C5061" s="4">
        <v>48</v>
      </c>
      <c r="D5061" s="3">
        <v>-0.93776022999999997</v>
      </c>
      <c r="E5061" s="1">
        <v>0.55585830000000003</v>
      </c>
      <c r="F5061" s="2">
        <v>0.78626479999999999</v>
      </c>
    </row>
    <row r="5062" spans="1:6" x14ac:dyDescent="0.25">
      <c r="A5062" t="s">
        <v>5</v>
      </c>
      <c r="B5062" s="5" t="str">
        <f>HYPERLINK("http://www.broadinstitute.org/gsea/msigdb/cards/BIOCARTA_G1_PATHWAY.html","BIOCARTA_G1_PATHWAY")</f>
        <v>BIOCARTA_G1_PATHWAY</v>
      </c>
      <c r="C5062" s="4">
        <v>26</v>
      </c>
      <c r="D5062" s="3">
        <v>-0.9384361</v>
      </c>
      <c r="E5062" s="1">
        <v>0.54106279999999995</v>
      </c>
      <c r="F5062" s="2">
        <v>0.78486619999999996</v>
      </c>
    </row>
    <row r="5063" spans="1:6" x14ac:dyDescent="0.25">
      <c r="A5063" t="s">
        <v>6</v>
      </c>
      <c r="B5063" s="5" t="str">
        <f>HYPERLINK("http://www.broadinstitute.org/gsea/msigdb/cards/GOBP_LONG_CHAIN_FATTY_ACID_BIOSYNTHETIC_PROCESS.html","GOBP_LONG_CHAIN_FATTY_ACID_BIOSYNTHETIC_PROCESS")</f>
        <v>GOBP_LONG_CHAIN_FATTY_ACID_BIOSYNTHETIC_PROCESS</v>
      </c>
      <c r="C5063" s="4">
        <v>23</v>
      </c>
      <c r="D5063" s="3">
        <v>-0.93851770000000001</v>
      </c>
      <c r="E5063" s="1">
        <v>0.54482759999999997</v>
      </c>
      <c r="F5063" s="2">
        <v>0.78514220000000001</v>
      </c>
    </row>
    <row r="5064" spans="1:6" x14ac:dyDescent="0.25">
      <c r="A5064" t="s">
        <v>7</v>
      </c>
      <c r="B5064" s="5" t="str">
        <f>HYPERLINK("http://www.broadinstitute.org/gsea/msigdb/cards/GOCC_CAJAL_BODY.html","GOCC_CAJAL_BODY")</f>
        <v>GOCC_CAJAL_BODY</v>
      </c>
      <c r="C5064" s="4">
        <v>37</v>
      </c>
      <c r="D5064" s="3">
        <v>-0.93871700000000002</v>
      </c>
      <c r="E5064" s="1">
        <v>0.58313250000000005</v>
      </c>
      <c r="F5064" s="2">
        <v>0.78505420000000004</v>
      </c>
    </row>
    <row r="5065" spans="1:6" x14ac:dyDescent="0.25">
      <c r="A5065" t="s">
        <v>6</v>
      </c>
      <c r="B5065" s="5" t="str">
        <f>HYPERLINK("http://www.broadinstitute.org/gsea/msigdb/cards/GOBP_PROTEIN_MODIFICATION_BY_SMALL_PROTEIN_REMOVAL.html","GOBP_PROTEIN_MODIFICATION_BY_SMALL_PROTEIN_REMOVAL")</f>
        <v>GOBP_PROTEIN_MODIFICATION_BY_SMALL_PROTEIN_REMOVAL</v>
      </c>
      <c r="C5065" s="4">
        <v>117</v>
      </c>
      <c r="D5065" s="3">
        <v>-0.93883749999999999</v>
      </c>
      <c r="E5065" s="1">
        <v>0.58356940000000002</v>
      </c>
      <c r="F5065" s="2">
        <v>0.78520749999999995</v>
      </c>
    </row>
    <row r="5066" spans="1:6" x14ac:dyDescent="0.25">
      <c r="A5066" t="s">
        <v>6</v>
      </c>
      <c r="B5066" s="5" t="str">
        <f>HYPERLINK("http://www.broadinstitute.org/gsea/msigdb/cards/GOBP_XENOBIOTIC_CATABOLIC_PROCESS.html","GOBP_XENOBIOTIC_CATABOLIC_PROCESS")</f>
        <v>GOBP_XENOBIOTIC_CATABOLIC_PROCESS</v>
      </c>
      <c r="C5066" s="4">
        <v>30</v>
      </c>
      <c r="D5066" s="3">
        <v>-0.9399438</v>
      </c>
      <c r="E5066" s="1">
        <v>0.53743315000000003</v>
      </c>
      <c r="F5066" s="2">
        <v>0.78249469999999999</v>
      </c>
    </row>
    <row r="5067" spans="1:6" x14ac:dyDescent="0.25">
      <c r="A5067" t="s">
        <v>8</v>
      </c>
      <c r="B5067" s="5" t="str">
        <f>HYPERLINK("http://www.broadinstitute.org/gsea/msigdb/cards/GOMF_N_ACETYLTRANSFERASE_ACTIVITY.html","GOMF_N_ACETYLTRANSFERASE_ACTIVITY")</f>
        <v>GOMF_N_ACETYLTRANSFERASE_ACTIVITY</v>
      </c>
      <c r="C5067" s="4">
        <v>72</v>
      </c>
      <c r="D5067" s="3">
        <v>-0.94023394999999999</v>
      </c>
      <c r="E5067" s="1">
        <v>0.59228650000000005</v>
      </c>
      <c r="F5067" s="2">
        <v>0.78216839999999999</v>
      </c>
    </row>
    <row r="5068" spans="1:6" x14ac:dyDescent="0.25">
      <c r="A5068" t="s">
        <v>10</v>
      </c>
      <c r="B5068" s="5" t="str">
        <f>HYPERLINK("http://www.broadinstitute.org/gsea/msigdb/cards/REACTOME_SYNTHESIS_OF_PC.html","REACTOME_SYNTHESIS_OF_PC")</f>
        <v>REACTOME_SYNTHESIS_OF_PC</v>
      </c>
      <c r="C5068" s="4">
        <v>26</v>
      </c>
      <c r="D5068" s="3">
        <v>-0.94037000000000004</v>
      </c>
      <c r="E5068" s="1">
        <v>0.55961070000000002</v>
      </c>
      <c r="F5068" s="2">
        <v>0.78226700000000005</v>
      </c>
    </row>
    <row r="5069" spans="1:6" x14ac:dyDescent="0.25">
      <c r="A5069" t="s">
        <v>6</v>
      </c>
      <c r="B5069" s="5" t="str">
        <f>HYPERLINK("http://www.broadinstitute.org/gsea/msigdb/cards/GOBP_NEGATIVE_REGULATION_OF_INTRACELLULAR_PROTEIN_TRANSPORT.html","GOBP_NEGATIVE_REGULATION_OF_INTRACELLULAR_PROTEIN_TRANSPORT")</f>
        <v>GOBP_NEGATIVE_REGULATION_OF_INTRACELLULAR_PROTEIN_TRANSPORT</v>
      </c>
      <c r="C5069" s="4">
        <v>48</v>
      </c>
      <c r="D5069" s="3">
        <v>-0.94054009999999999</v>
      </c>
      <c r="E5069" s="1">
        <v>0.53678477000000002</v>
      </c>
      <c r="F5069" s="2">
        <v>0.78230434999999998</v>
      </c>
    </row>
    <row r="5070" spans="1:6" x14ac:dyDescent="0.25">
      <c r="A5070" t="s">
        <v>7</v>
      </c>
      <c r="B5070" s="5" t="str">
        <f>HYPERLINK("http://www.broadinstitute.org/gsea/msigdb/cards/GOCC_STEREOCILIUM.html","GOCC_STEREOCILIUM")</f>
        <v>GOCC_STEREOCILIUM</v>
      </c>
      <c r="C5070" s="4">
        <v>58</v>
      </c>
      <c r="D5070" s="3">
        <v>-0.94060440000000001</v>
      </c>
      <c r="E5070" s="1">
        <v>0.53591160000000004</v>
      </c>
      <c r="F5070" s="2">
        <v>0.78261983000000002</v>
      </c>
    </row>
    <row r="5071" spans="1:6" x14ac:dyDescent="0.25">
      <c r="A5071" t="s">
        <v>6</v>
      </c>
      <c r="B5071" s="5" t="str">
        <f>HYPERLINK("http://www.broadinstitute.org/gsea/msigdb/cards/GOBP_REGULATION_OF_MICROTUBULE_POLYMERIZATION.html","GOBP_REGULATION_OF_MICROTUBULE_POLYMERIZATION")</f>
        <v>GOBP_REGULATION_OF_MICROTUBULE_POLYMERIZATION</v>
      </c>
      <c r="C5071" s="4">
        <v>55</v>
      </c>
      <c r="D5071" s="3">
        <v>-0.94083209999999995</v>
      </c>
      <c r="E5071" s="1">
        <v>0.54025970000000001</v>
      </c>
      <c r="F5071" s="2">
        <v>0.78246899999999997</v>
      </c>
    </row>
    <row r="5072" spans="1:6" x14ac:dyDescent="0.25">
      <c r="A5072" t="s">
        <v>6</v>
      </c>
      <c r="B5072" s="5" t="str">
        <f>HYPERLINK("http://www.broadinstitute.org/gsea/msigdb/cards/GOBP_CELL_CYCLE_G2_M_PHASE_TRANSITION.html","GOBP_CELL_CYCLE_G2_M_PHASE_TRANSITION")</f>
        <v>GOBP_CELL_CYCLE_G2_M_PHASE_TRANSITION</v>
      </c>
      <c r="C5072" s="4">
        <v>152</v>
      </c>
      <c r="D5072" s="3">
        <v>-0.94123626000000005</v>
      </c>
      <c r="E5072" s="1">
        <v>0.63239869999999998</v>
      </c>
      <c r="F5072" s="2">
        <v>0.78178499999999995</v>
      </c>
    </row>
    <row r="5073" spans="1:6" x14ac:dyDescent="0.25">
      <c r="A5073" t="s">
        <v>6</v>
      </c>
      <c r="B5073" s="5" t="str">
        <f>HYPERLINK("http://www.broadinstitute.org/gsea/msigdb/cards/GOBP_MALE_SEX_DIFFERENTIATION.html","GOBP_MALE_SEX_DIFFERENTIATION")</f>
        <v>GOBP_MALE_SEX_DIFFERENTIATION</v>
      </c>
      <c r="C5073" s="4">
        <v>154</v>
      </c>
      <c r="D5073" s="3">
        <v>-0.94169647000000001</v>
      </c>
      <c r="E5073" s="1">
        <v>0.59375</v>
      </c>
      <c r="F5073" s="2">
        <v>0.78093939999999995</v>
      </c>
    </row>
    <row r="5074" spans="1:6" x14ac:dyDescent="0.25">
      <c r="A5074" t="s">
        <v>6</v>
      </c>
      <c r="B5074" s="5" t="str">
        <f>HYPERLINK("http://www.broadinstitute.org/gsea/msigdb/cards/GOBP_RNA_LOCALIZATION.html","GOBP_RNA_LOCALIZATION")</f>
        <v>GOBP_RNA_LOCALIZATION</v>
      </c>
      <c r="C5074" s="4">
        <v>163</v>
      </c>
      <c r="D5074" s="3">
        <v>-0.94307065000000001</v>
      </c>
      <c r="E5074" s="1">
        <v>0.64576805000000004</v>
      </c>
      <c r="F5074" s="2">
        <v>0.77744020000000003</v>
      </c>
    </row>
    <row r="5075" spans="1:6" x14ac:dyDescent="0.25">
      <c r="A5075" t="s">
        <v>6</v>
      </c>
      <c r="B5075" s="5" t="str">
        <f>HYPERLINK("http://www.broadinstitute.org/gsea/msigdb/cards/GOBP_NEGATIVE_REGULATION_OF_JNK_CASCADE.html","GOBP_NEGATIVE_REGULATION_OF_JNK_CASCADE")</f>
        <v>GOBP_NEGATIVE_REGULATION_OF_JNK_CASCADE</v>
      </c>
      <c r="C5075" s="4">
        <v>38</v>
      </c>
      <c r="D5075" s="3">
        <v>-0.94338113000000001</v>
      </c>
      <c r="E5075" s="1">
        <v>0.55415619999999999</v>
      </c>
      <c r="F5075" s="2">
        <v>0.77697574999999997</v>
      </c>
    </row>
    <row r="5076" spans="1:6" x14ac:dyDescent="0.25">
      <c r="A5076" t="s">
        <v>6</v>
      </c>
      <c r="B5076" s="5" t="str">
        <f>HYPERLINK("http://www.broadinstitute.org/gsea/msigdb/cards/GOBP_SOMATIC_STEM_CELL_DIVISION.html","GOBP_SOMATIC_STEM_CELL_DIVISION")</f>
        <v>GOBP_SOMATIC_STEM_CELL_DIVISION</v>
      </c>
      <c r="C5076" s="4">
        <v>15</v>
      </c>
      <c r="D5076" s="3">
        <v>-0.94343449999999995</v>
      </c>
      <c r="E5076" s="1">
        <v>0.54415274000000002</v>
      </c>
      <c r="F5076" s="2">
        <v>0.77732420000000002</v>
      </c>
    </row>
    <row r="5077" spans="1:6" x14ac:dyDescent="0.25">
      <c r="A5077" t="s">
        <v>6</v>
      </c>
      <c r="B5077" s="5" t="str">
        <f>HYPERLINK("http://www.broadinstitute.org/gsea/msigdb/cards/GOBP_MONOCARBOXYLIC_ACID_BIOSYNTHETIC_PROCESS.html","GOBP_MONOCARBOXYLIC_ACID_BIOSYNTHETIC_PROCESS")</f>
        <v>GOBP_MONOCARBOXYLIC_ACID_BIOSYNTHETIC_PROCESS</v>
      </c>
      <c r="C5077" s="4">
        <v>217</v>
      </c>
      <c r="D5077" s="3">
        <v>-0.94415956999999995</v>
      </c>
      <c r="E5077" s="1">
        <v>0.59558820000000001</v>
      </c>
      <c r="F5077" s="2">
        <v>0.77574670000000001</v>
      </c>
    </row>
    <row r="5078" spans="1:6" x14ac:dyDescent="0.25">
      <c r="A5078" t="s">
        <v>9</v>
      </c>
      <c r="B5078" s="5" t="str">
        <f>HYPERLINK("http://www.broadinstitute.org/gsea/msigdb/cards/HALLMARK_PEROXISOME.html","HALLMARK_PEROXISOME")</f>
        <v>HALLMARK_PEROXISOME</v>
      </c>
      <c r="C5078" s="4">
        <v>102</v>
      </c>
      <c r="D5078" s="3">
        <v>-0.94418544000000004</v>
      </c>
      <c r="E5078" s="1">
        <v>0.60645163000000002</v>
      </c>
      <c r="F5078" s="2">
        <v>0.7761808</v>
      </c>
    </row>
    <row r="5079" spans="1:6" x14ac:dyDescent="0.25">
      <c r="A5079" t="s">
        <v>6</v>
      </c>
      <c r="B5079" s="5" t="str">
        <f>HYPERLINK("http://www.broadinstitute.org/gsea/msigdb/cards/GOBP_NERVE_DEVELOPMENT.html","GOBP_NERVE_DEVELOPMENT")</f>
        <v>GOBP_NERVE_DEVELOPMENT</v>
      </c>
      <c r="C5079" s="4">
        <v>99</v>
      </c>
      <c r="D5079" s="3">
        <v>-0.94429209999999997</v>
      </c>
      <c r="E5079" s="1">
        <v>0.58208954000000002</v>
      </c>
      <c r="F5079" s="2">
        <v>0.77637606999999997</v>
      </c>
    </row>
    <row r="5080" spans="1:6" x14ac:dyDescent="0.25">
      <c r="A5080" t="s">
        <v>6</v>
      </c>
      <c r="B5080" s="5" t="str">
        <f>HYPERLINK("http://www.broadinstitute.org/gsea/msigdb/cards/GOBP_BONE_TRABECULA_MORPHOGENESIS.html","GOBP_BONE_TRABECULA_MORPHOGENESIS")</f>
        <v>GOBP_BONE_TRABECULA_MORPHOGENESIS</v>
      </c>
      <c r="C5080" s="4">
        <v>17</v>
      </c>
      <c r="D5080" s="3">
        <v>-0.94436750000000003</v>
      </c>
      <c r="E5080" s="1">
        <v>0.53810625999999995</v>
      </c>
      <c r="F5080" s="2">
        <v>0.77667326000000003</v>
      </c>
    </row>
    <row r="5081" spans="1:6" x14ac:dyDescent="0.25">
      <c r="A5081" t="s">
        <v>8</v>
      </c>
      <c r="B5081" s="5" t="str">
        <f>HYPERLINK("http://www.broadinstitute.org/gsea/msigdb/cards/GOMF_AMP_BINDING.html","GOMF_AMP_BINDING")</f>
        <v>GOMF_AMP_BINDING</v>
      </c>
      <c r="C5081" s="4">
        <v>19</v>
      </c>
      <c r="D5081" s="3">
        <v>-0.94440632999999996</v>
      </c>
      <c r="E5081" s="1">
        <v>0.54784690000000003</v>
      </c>
      <c r="F5081" s="2">
        <v>0.77705489999999999</v>
      </c>
    </row>
    <row r="5082" spans="1:6" x14ac:dyDescent="0.25">
      <c r="A5082" t="s">
        <v>6</v>
      </c>
      <c r="B5082" s="5" t="str">
        <f>HYPERLINK("http://www.broadinstitute.org/gsea/msigdb/cards/GOBP_COLLATERAL_SPROUTING.html","GOBP_COLLATERAL_SPROUTING")</f>
        <v>GOBP_COLLATERAL_SPROUTING</v>
      </c>
      <c r="C5082" s="4">
        <v>32</v>
      </c>
      <c r="D5082" s="3">
        <v>-0.94535999999999998</v>
      </c>
      <c r="E5082" s="1">
        <v>0.52357319999999996</v>
      </c>
      <c r="F5082" s="2">
        <v>0.77481436999999997</v>
      </c>
    </row>
    <row r="5083" spans="1:6" x14ac:dyDescent="0.25">
      <c r="A5083" t="s">
        <v>6</v>
      </c>
      <c r="B5083" s="5" t="str">
        <f>HYPERLINK("http://www.broadinstitute.org/gsea/msigdb/cards/GOBP_CHROMOSOME_SEGREGATION.html","GOBP_CHROMOSOME_SEGREGATION")</f>
        <v>GOBP_CHROMOSOME_SEGREGATION</v>
      </c>
      <c r="C5083" s="4">
        <v>408</v>
      </c>
      <c r="D5083" s="3">
        <v>-0.94653140000000002</v>
      </c>
      <c r="E5083" s="1">
        <v>0.67579909999999999</v>
      </c>
      <c r="F5083" s="2">
        <v>0.77179450000000005</v>
      </c>
    </row>
    <row r="5084" spans="1:6" x14ac:dyDescent="0.25">
      <c r="A5084" t="s">
        <v>6</v>
      </c>
      <c r="B5084" s="5" t="str">
        <f>HYPERLINK("http://www.broadinstitute.org/gsea/msigdb/cards/GOBP_AXIS_ELONGATION.html","GOBP_AXIS_ELONGATION")</f>
        <v>GOBP_AXIS_ELONGATION</v>
      </c>
      <c r="C5084" s="4">
        <v>37</v>
      </c>
      <c r="D5084" s="3">
        <v>-0.94670116999999998</v>
      </c>
      <c r="E5084" s="1">
        <v>0.54460096000000002</v>
      </c>
      <c r="F5084" s="2">
        <v>0.77178115000000003</v>
      </c>
    </row>
    <row r="5085" spans="1:6" x14ac:dyDescent="0.25">
      <c r="A5085" t="s">
        <v>7</v>
      </c>
      <c r="B5085" s="5" t="str">
        <f>HYPERLINK("http://www.broadinstitute.org/gsea/msigdb/cards/GOCC_CHROMOSOME_CENTROMERIC_REGION.html","GOCC_CHROMOSOME_CENTROMERIC_REGION")</f>
        <v>GOCC_CHROMOSOME_CENTROMERIC_REGION</v>
      </c>
      <c r="C5085" s="4">
        <v>256</v>
      </c>
      <c r="D5085" s="3">
        <v>-0.94670589999999999</v>
      </c>
      <c r="E5085" s="1">
        <v>0.62909090000000001</v>
      </c>
      <c r="F5085" s="2">
        <v>0.77226819999999996</v>
      </c>
    </row>
    <row r="5086" spans="1:6" x14ac:dyDescent="0.25">
      <c r="A5086" t="s">
        <v>10</v>
      </c>
      <c r="B5086" s="5" t="str">
        <f>HYPERLINK("http://www.broadinstitute.org/gsea/msigdb/cards/REACTOME_SEALING_OF_THE_NUCLEAR_ENVELOPE_NE_BY_ESCRT_III.html","REACTOME_SEALING_OF_THE_NUCLEAR_ENVELOPE_NE_BY_ESCRT_III")</f>
        <v>REACTOME_SEALING_OF_THE_NUCLEAR_ENVELOPE_NE_BY_ESCRT_III</v>
      </c>
      <c r="C5086" s="4">
        <v>26</v>
      </c>
      <c r="D5086" s="3">
        <v>-0.94692609999999999</v>
      </c>
      <c r="E5086" s="1">
        <v>0.54479420000000001</v>
      </c>
      <c r="F5086" s="2">
        <v>0.77209585999999997</v>
      </c>
    </row>
    <row r="5087" spans="1:6" x14ac:dyDescent="0.25">
      <c r="A5087" t="s">
        <v>6</v>
      </c>
      <c r="B5087" s="5" t="str">
        <f>HYPERLINK("http://www.broadinstitute.org/gsea/msigdb/cards/GOBP_SYNAPTONEMAL_COMPLEX_ORGANIZATION.html","GOBP_SYNAPTONEMAL_COMPLEX_ORGANIZATION")</f>
        <v>GOBP_SYNAPTONEMAL_COMPLEX_ORGANIZATION</v>
      </c>
      <c r="C5087" s="4">
        <v>28</v>
      </c>
      <c r="D5087" s="3">
        <v>-0.9475808</v>
      </c>
      <c r="E5087" s="1">
        <v>0.52405064999999995</v>
      </c>
      <c r="F5087" s="2">
        <v>0.77064310000000003</v>
      </c>
    </row>
    <row r="5088" spans="1:6" x14ac:dyDescent="0.25">
      <c r="A5088" t="s">
        <v>6</v>
      </c>
      <c r="B5088" s="5" t="str">
        <f>HYPERLINK("http://www.broadinstitute.org/gsea/msigdb/cards/GOBP_INNER_EAR_MORPHOGENESIS.html","GOBP_INNER_EAR_MORPHOGENESIS")</f>
        <v>GOBP_INNER_EAR_MORPHOGENESIS</v>
      </c>
      <c r="C5088" s="4">
        <v>121</v>
      </c>
      <c r="D5088" s="3">
        <v>-0.94789827000000004</v>
      </c>
      <c r="E5088" s="1">
        <v>0.57222223000000005</v>
      </c>
      <c r="F5088" s="2">
        <v>0.77019422999999998</v>
      </c>
    </row>
    <row r="5089" spans="1:6" x14ac:dyDescent="0.25">
      <c r="A5089" t="s">
        <v>10</v>
      </c>
      <c r="B5089" s="5" t="str">
        <f>HYPERLINK("http://www.broadinstitute.org/gsea/msigdb/cards/REACTOME_ADHERENS_JUNCTIONS_INTERACTIONS.html","REACTOME_ADHERENS_JUNCTIONS_INTERACTIONS")</f>
        <v>REACTOME_ADHERENS_JUNCTIONS_INTERACTIONS</v>
      </c>
      <c r="C5089" s="4">
        <v>40</v>
      </c>
      <c r="D5089" s="3">
        <v>-0.94893472999999995</v>
      </c>
      <c r="E5089" s="1">
        <v>0.53826529999999995</v>
      </c>
      <c r="F5089" s="2">
        <v>0.7676366</v>
      </c>
    </row>
    <row r="5090" spans="1:6" x14ac:dyDescent="0.25">
      <c r="A5090" t="s">
        <v>6</v>
      </c>
      <c r="B5090" s="5" t="str">
        <f>HYPERLINK("http://www.broadinstitute.org/gsea/msigdb/cards/GOBP_REGULATION_OF_PEPTIDYL_LYSINE_ACETYLATION.html","GOBP_REGULATION_OF_PEPTIDYL_LYSINE_ACETYLATION")</f>
        <v>GOBP_REGULATION_OF_PEPTIDYL_LYSINE_ACETYLATION</v>
      </c>
      <c r="C5090" s="4">
        <v>32</v>
      </c>
      <c r="D5090" s="3">
        <v>-0.94988430000000001</v>
      </c>
      <c r="E5090" s="1">
        <v>0.53500000000000003</v>
      </c>
      <c r="F5090" s="2">
        <v>0.76536769999999998</v>
      </c>
    </row>
    <row r="5091" spans="1:6" x14ac:dyDescent="0.25">
      <c r="A5091" t="s">
        <v>7</v>
      </c>
      <c r="B5091" s="5" t="str">
        <f>HYPERLINK("http://www.broadinstitute.org/gsea/msigdb/cards/GOCC_DISTAL_AXON.html","GOCC_DISTAL_AXON")</f>
        <v>GOCC_DISTAL_AXON</v>
      </c>
      <c r="C5091" s="4">
        <v>392</v>
      </c>
      <c r="D5091" s="3">
        <v>-0.95030444999999997</v>
      </c>
      <c r="E5091" s="1">
        <v>0.69849247000000003</v>
      </c>
      <c r="F5091" s="2">
        <v>0.76460589999999995</v>
      </c>
    </row>
    <row r="5092" spans="1:6" x14ac:dyDescent="0.25">
      <c r="A5092" t="s">
        <v>6</v>
      </c>
      <c r="B5092" s="5" t="str">
        <f>HYPERLINK("http://www.broadinstitute.org/gsea/msigdb/cards/GOBP_SYNAPTIC_TRANSMISSION_DOPAMINERGIC.html","GOBP_SYNAPTIC_TRANSMISSION_DOPAMINERGIC")</f>
        <v>GOBP_SYNAPTIC_TRANSMISSION_DOPAMINERGIC</v>
      </c>
      <c r="C5092" s="4">
        <v>30</v>
      </c>
      <c r="D5092" s="3">
        <v>-0.95034814000000001</v>
      </c>
      <c r="E5092" s="1">
        <v>0.52109179999999999</v>
      </c>
      <c r="F5092" s="2">
        <v>0.76498200000000005</v>
      </c>
    </row>
    <row r="5093" spans="1:6" x14ac:dyDescent="0.25">
      <c r="A5093" t="s">
        <v>10</v>
      </c>
      <c r="B5093" s="5" t="str">
        <f>HYPERLINK("http://www.broadinstitute.org/gsea/msigdb/cards/REACTOME_FOXO_MEDIATED_TRANSCRIPTION.html","REACTOME_FOXO_MEDIATED_TRANSCRIPTION")</f>
        <v>REACTOME_FOXO_MEDIATED_TRANSCRIPTION</v>
      </c>
      <c r="C5093" s="4">
        <v>21</v>
      </c>
      <c r="D5093" s="3">
        <v>-0.95057930000000002</v>
      </c>
      <c r="E5093" s="1">
        <v>0.49757279999999998</v>
      </c>
      <c r="F5093" s="2">
        <v>0.76476436999999997</v>
      </c>
    </row>
    <row r="5094" spans="1:6" x14ac:dyDescent="0.25">
      <c r="A5094" t="s">
        <v>6</v>
      </c>
      <c r="B5094" s="5" t="str">
        <f>HYPERLINK("http://www.broadinstitute.org/gsea/msigdb/cards/GOBP_VASCULOGENESIS_INVOLVED_IN_CORONARY_VASCULAR_MORPHOGENESIS.html","GOBP_VASCULOGENESIS_INVOLVED_IN_CORONARY_VASCULAR_MORPHOGENESIS")</f>
        <v>GOBP_VASCULOGENESIS_INVOLVED_IN_CORONARY_VASCULAR_MORPHOGENESIS</v>
      </c>
      <c r="C5094" s="4">
        <v>15</v>
      </c>
      <c r="D5094" s="3">
        <v>-0.95073169999999996</v>
      </c>
      <c r="E5094" s="1">
        <v>0.52019000000000004</v>
      </c>
      <c r="F5094" s="2">
        <v>0.76480669999999995</v>
      </c>
    </row>
    <row r="5095" spans="1:6" x14ac:dyDescent="0.25">
      <c r="A5095" t="s">
        <v>7</v>
      </c>
      <c r="B5095" s="5" t="str">
        <f>HYPERLINK("http://www.broadinstitute.org/gsea/msigdb/cards/GOCC_MICROTUBULE.html","GOCC_MICROTUBULE")</f>
        <v>GOCC_MICROTUBULE</v>
      </c>
      <c r="C5095" s="4">
        <v>458</v>
      </c>
      <c r="D5095" s="3">
        <v>-0.95121889999999998</v>
      </c>
      <c r="E5095" s="1">
        <v>0.69191919999999996</v>
      </c>
      <c r="F5095" s="2">
        <v>0.76388820000000002</v>
      </c>
    </row>
    <row r="5096" spans="1:6" x14ac:dyDescent="0.25">
      <c r="A5096" t="s">
        <v>8</v>
      </c>
      <c r="B5096" s="5" t="str">
        <f>HYPERLINK("http://www.broadinstitute.org/gsea/msigdb/cards/GOMF_DELAYED_RECTIFIER_POTASSIUM_CHANNEL_ACTIVITY.html","GOMF_DELAYED_RECTIFIER_POTASSIUM_CHANNEL_ACTIVITY")</f>
        <v>GOMF_DELAYED_RECTIFIER_POTASSIUM_CHANNEL_ACTIVITY</v>
      </c>
      <c r="C5096" s="4">
        <v>25</v>
      </c>
      <c r="D5096" s="3">
        <v>-0.95147440000000005</v>
      </c>
      <c r="E5096" s="1">
        <v>0.52567240000000004</v>
      </c>
      <c r="F5096" s="2">
        <v>0.76366054999999999</v>
      </c>
    </row>
    <row r="5097" spans="1:6" x14ac:dyDescent="0.25">
      <c r="A5097" t="s">
        <v>6</v>
      </c>
      <c r="B5097" s="5" t="str">
        <f>HYPERLINK("http://www.broadinstitute.org/gsea/msigdb/cards/GOBP_PROTEIN_DEUBIQUITINATION.html","GOBP_PROTEIN_DEUBIQUITINATION")</f>
        <v>GOBP_PROTEIN_DEUBIQUITINATION</v>
      </c>
      <c r="C5097" s="4">
        <v>98</v>
      </c>
      <c r="D5097" s="3">
        <v>-0.95149899999999998</v>
      </c>
      <c r="E5097" s="1">
        <v>0.54810493999999998</v>
      </c>
      <c r="F5097" s="2">
        <v>0.76408315000000004</v>
      </c>
    </row>
    <row r="5098" spans="1:6" x14ac:dyDescent="0.25">
      <c r="A5098" t="s">
        <v>6</v>
      </c>
      <c r="B5098" s="5" t="str">
        <f>HYPERLINK("http://www.broadinstitute.org/gsea/msigdb/cards/GOBP_NEGATIVE_REGULATION_OF_ORGAN_GROWTH.html","GOBP_NEGATIVE_REGULATION_OF_ORGAN_GROWTH")</f>
        <v>GOBP_NEGATIVE_REGULATION_OF_ORGAN_GROWTH</v>
      </c>
      <c r="C5098" s="4">
        <v>42</v>
      </c>
      <c r="D5098" s="3">
        <v>-0.95188879999999998</v>
      </c>
      <c r="E5098" s="1">
        <v>0.53229976000000001</v>
      </c>
      <c r="F5098" s="2">
        <v>0.76343720000000004</v>
      </c>
    </row>
    <row r="5099" spans="1:6" x14ac:dyDescent="0.25">
      <c r="A5099" t="s">
        <v>9</v>
      </c>
      <c r="B5099" s="5" t="str">
        <f>HYPERLINK("http://www.broadinstitute.org/gsea/msigdb/cards/HALLMARK_HEDGEHOG_SIGNALING.html","HALLMARK_HEDGEHOG_SIGNALING")</f>
        <v>HALLMARK_HEDGEHOG_SIGNALING</v>
      </c>
      <c r="C5099" s="4">
        <v>36</v>
      </c>
      <c r="D5099" s="3">
        <v>-0.95284027000000004</v>
      </c>
      <c r="E5099" s="1">
        <v>0.55610970000000004</v>
      </c>
      <c r="F5099" s="2">
        <v>0.76120156000000005</v>
      </c>
    </row>
    <row r="5100" spans="1:6" x14ac:dyDescent="0.25">
      <c r="A5100" t="s">
        <v>6</v>
      </c>
      <c r="B5100" s="5" t="str">
        <f>HYPERLINK("http://www.broadinstitute.org/gsea/msigdb/cards/GOBP_MAMMARY_GLAND_DUCT_MORPHOGENESIS.html","GOBP_MAMMARY_GLAND_DUCT_MORPHOGENESIS")</f>
        <v>GOBP_MAMMARY_GLAND_DUCT_MORPHOGENESIS</v>
      </c>
      <c r="C5100" s="4">
        <v>41</v>
      </c>
      <c r="D5100" s="3">
        <v>-0.95293550000000005</v>
      </c>
      <c r="E5100" s="1">
        <v>0.51041669999999995</v>
      </c>
      <c r="F5100" s="2">
        <v>0.76142220000000005</v>
      </c>
    </row>
    <row r="5101" spans="1:6" x14ac:dyDescent="0.25">
      <c r="A5101" t="s">
        <v>7</v>
      </c>
      <c r="B5101" s="5" t="str">
        <f>HYPERLINK("http://www.broadinstitute.org/gsea/msigdb/cards/GOCC_ANAPHASE_PROMOTING_COMPLEX.html","GOCC_ANAPHASE_PROMOTING_COMPLEX")</f>
        <v>GOCC_ANAPHASE_PROMOTING_COMPLEX</v>
      </c>
      <c r="C5101" s="4">
        <v>21</v>
      </c>
      <c r="D5101" s="3">
        <v>-0.95303709999999997</v>
      </c>
      <c r="E5101" s="1">
        <v>0.51991149999999997</v>
      </c>
      <c r="F5101" s="2">
        <v>0.76162220000000003</v>
      </c>
    </row>
    <row r="5102" spans="1:6" x14ac:dyDescent="0.25">
      <c r="A5102" t="s">
        <v>8</v>
      </c>
      <c r="B5102" s="5" t="str">
        <f>HYPERLINK("http://www.broadinstitute.org/gsea/msigdb/cards/GOMF_HISTONE_MODIFYING_ACTIVITY.html","GOMF_HISTONE_MODIFYING_ACTIVITY")</f>
        <v>GOMF_HISTONE_MODIFYING_ACTIVITY</v>
      </c>
      <c r="C5102" s="4">
        <v>194</v>
      </c>
      <c r="D5102" s="3">
        <v>-0.95322189999999996</v>
      </c>
      <c r="E5102" s="1">
        <v>0.59589040000000004</v>
      </c>
      <c r="F5102" s="2">
        <v>0.76158314999999999</v>
      </c>
    </row>
    <row r="5103" spans="1:6" x14ac:dyDescent="0.25">
      <c r="A5103" t="s">
        <v>6</v>
      </c>
      <c r="B5103" s="5" t="str">
        <f>HYPERLINK("http://www.broadinstitute.org/gsea/msigdb/cards/GOBP_POSITIVE_REGULATION_OF_CILIUM_ASSEMBLY.html","GOBP_POSITIVE_REGULATION_OF_CILIUM_ASSEMBLY")</f>
        <v>GOBP_POSITIVE_REGULATION_OF_CILIUM_ASSEMBLY</v>
      </c>
      <c r="C5103" s="4">
        <v>31</v>
      </c>
      <c r="D5103" s="3">
        <v>-0.95357435999999995</v>
      </c>
      <c r="E5103" s="1">
        <v>0.54659950000000002</v>
      </c>
      <c r="F5103" s="2">
        <v>0.76105475</v>
      </c>
    </row>
    <row r="5104" spans="1:6" x14ac:dyDescent="0.25">
      <c r="A5104" t="s">
        <v>8</v>
      </c>
      <c r="B5104" s="5" t="str">
        <f>HYPERLINK("http://www.broadinstitute.org/gsea/msigdb/cards/GOMF_POLY_PYRIMIDINE_TRACT_BINDING.html","GOMF_POLY_PYRIMIDINE_TRACT_BINDING")</f>
        <v>GOMF_POLY_PYRIMIDINE_TRACT_BINDING</v>
      </c>
      <c r="C5104" s="4">
        <v>30</v>
      </c>
      <c r="D5104" s="3">
        <v>-0.95394235999999999</v>
      </c>
      <c r="E5104" s="1">
        <v>0.52284264999999996</v>
      </c>
      <c r="F5104" s="2">
        <v>0.76046084999999997</v>
      </c>
    </row>
    <row r="5105" spans="1:6" x14ac:dyDescent="0.25">
      <c r="A5105" t="s">
        <v>7</v>
      </c>
      <c r="B5105" s="5" t="str">
        <f>HYPERLINK("http://www.broadinstitute.org/gsea/msigdb/cards/GOCC_AXOLEMMA.html","GOCC_AXOLEMMA")</f>
        <v>GOCC_AXOLEMMA</v>
      </c>
      <c r="C5105" s="4">
        <v>20</v>
      </c>
      <c r="D5105" s="3">
        <v>-0.95466393000000005</v>
      </c>
      <c r="E5105" s="1">
        <v>0.52325580000000005</v>
      </c>
      <c r="F5105" s="2">
        <v>0.75881964000000002</v>
      </c>
    </row>
    <row r="5106" spans="1:6" x14ac:dyDescent="0.25">
      <c r="A5106" t="s">
        <v>10</v>
      </c>
      <c r="B5106" s="5" t="str">
        <f>HYPERLINK("http://www.broadinstitute.org/gsea/msigdb/cards/REACTOME_DNA_DOUBLE_STRAND_BREAK_REPAIR.html","REACTOME_DNA_DOUBLE_STRAND_BREAK_REPAIR")</f>
        <v>REACTOME_DNA_DOUBLE_STRAND_BREAK_REPAIR</v>
      </c>
      <c r="C5106" s="4">
        <v>154</v>
      </c>
      <c r="D5106" s="3">
        <v>-0.95471609999999996</v>
      </c>
      <c r="E5106" s="1">
        <v>0.56193349999999997</v>
      </c>
      <c r="F5106" s="2">
        <v>0.75914495999999998</v>
      </c>
    </row>
    <row r="5107" spans="1:6" x14ac:dyDescent="0.25">
      <c r="A5107" t="s">
        <v>7</v>
      </c>
      <c r="B5107" s="5" t="str">
        <f>HYPERLINK("http://www.broadinstitute.org/gsea/msigdb/cards/GOCC_OUTER_KINETOCHORE.html","GOCC_OUTER_KINETOCHORE")</f>
        <v>GOCC_OUTER_KINETOCHORE</v>
      </c>
      <c r="C5107" s="4">
        <v>23</v>
      </c>
      <c r="D5107" s="3">
        <v>-0.95472659999999998</v>
      </c>
      <c r="E5107" s="1">
        <v>0.50749999999999995</v>
      </c>
      <c r="F5107" s="2">
        <v>0.75961935999999997</v>
      </c>
    </row>
    <row r="5108" spans="1:6" x14ac:dyDescent="0.25">
      <c r="A5108" t="s">
        <v>8</v>
      </c>
      <c r="B5108" s="5" t="str">
        <f>HYPERLINK("http://www.broadinstitute.org/gsea/msigdb/cards/GOMF_INTRAMOLECULAR_OXIDOREDUCTASE_ACTIVITY.html","GOMF_INTRAMOLECULAR_OXIDOREDUCTASE_ACTIVITY")</f>
        <v>GOMF_INTRAMOLECULAR_OXIDOREDUCTASE_ACTIVITY</v>
      </c>
      <c r="C5108" s="4">
        <v>48</v>
      </c>
      <c r="D5108" s="3">
        <v>-0.95500547000000002</v>
      </c>
      <c r="E5108" s="1">
        <v>0.55276380000000003</v>
      </c>
      <c r="F5108" s="2">
        <v>0.75926649999999996</v>
      </c>
    </row>
    <row r="5109" spans="1:6" x14ac:dyDescent="0.25">
      <c r="A5109" t="s">
        <v>8</v>
      </c>
      <c r="B5109" s="5" t="str">
        <f>HYPERLINK("http://www.broadinstitute.org/gsea/msigdb/cards/GOMF_HYALURONIC_ACID_BINDING.html","GOMF_HYALURONIC_ACID_BINDING")</f>
        <v>GOMF_HYALURONIC_ACID_BINDING</v>
      </c>
      <c r="C5109" s="4">
        <v>25</v>
      </c>
      <c r="D5109" s="3">
        <v>-0.95536869999999996</v>
      </c>
      <c r="E5109" s="1">
        <v>0.52119700000000002</v>
      </c>
      <c r="F5109" s="2">
        <v>0.75868237000000005</v>
      </c>
    </row>
    <row r="5110" spans="1:6" x14ac:dyDescent="0.25">
      <c r="A5110" t="s">
        <v>7</v>
      </c>
      <c r="B5110" s="5" t="str">
        <f>HYPERLINK("http://www.broadinstitute.org/gsea/msigdb/cards/GOCC_CENTRIOLAR_SATELLITE.html","GOCC_CENTRIOLAR_SATELLITE")</f>
        <v>GOCC_CENTRIOLAR_SATELLITE</v>
      </c>
      <c r="C5110" s="4">
        <v>117</v>
      </c>
      <c r="D5110" s="3">
        <v>-0.95598143000000002</v>
      </c>
      <c r="E5110" s="1">
        <v>0.56832296000000004</v>
      </c>
      <c r="F5110" s="2">
        <v>0.75738554999999996</v>
      </c>
    </row>
    <row r="5111" spans="1:6" x14ac:dyDescent="0.25">
      <c r="A5111" t="s">
        <v>8</v>
      </c>
      <c r="B5111" s="5" t="str">
        <f>HYPERLINK("http://www.broadinstitute.org/gsea/msigdb/cards/GOMF_ACYL_COA_BINDING.html","GOMF_ACYL_COA_BINDING")</f>
        <v>GOMF_ACYL_COA_BINDING</v>
      </c>
      <c r="C5111" s="4">
        <v>26</v>
      </c>
      <c r="D5111" s="3">
        <v>-0.95601939999999996</v>
      </c>
      <c r="E5111" s="1">
        <v>0.50243899999999997</v>
      </c>
      <c r="F5111" s="2">
        <v>0.75776869999999996</v>
      </c>
    </row>
    <row r="5112" spans="1:6" x14ac:dyDescent="0.25">
      <c r="A5112" t="s">
        <v>6</v>
      </c>
      <c r="B5112" s="5" t="str">
        <f>HYPERLINK("http://www.broadinstitute.org/gsea/msigdb/cards/GOBP_ENTEROENDOCRINE_CELL_DIFFERENTIATION.html","GOBP_ENTEROENDOCRINE_CELL_DIFFERENTIATION")</f>
        <v>GOBP_ENTEROENDOCRINE_CELL_DIFFERENTIATION</v>
      </c>
      <c r="C5112" s="4">
        <v>36</v>
      </c>
      <c r="D5112" s="3">
        <v>-0.95604750000000005</v>
      </c>
      <c r="E5112" s="1">
        <v>0.49376560000000003</v>
      </c>
      <c r="F5112" s="2">
        <v>0.75817555000000003</v>
      </c>
    </row>
    <row r="5113" spans="1:6" x14ac:dyDescent="0.25">
      <c r="A5113" t="s">
        <v>6</v>
      </c>
      <c r="B5113" s="5" t="str">
        <f>HYPERLINK("http://www.broadinstitute.org/gsea/msigdb/cards/GOBP_CYTOSKELETON_DEPENDENT_INTRACELLULAR_TRANSPORT.html","GOBP_CYTOSKELETON_DEPENDENT_INTRACELLULAR_TRANSPORT")</f>
        <v>GOBP_CYTOSKELETON_DEPENDENT_INTRACELLULAR_TRANSPORT</v>
      </c>
      <c r="C5113" s="4">
        <v>213</v>
      </c>
      <c r="D5113" s="3">
        <v>-0.95664329999999997</v>
      </c>
      <c r="E5113" s="1">
        <v>0.57679179999999997</v>
      </c>
      <c r="F5113" s="2">
        <v>0.75691973999999995</v>
      </c>
    </row>
    <row r="5114" spans="1:6" x14ac:dyDescent="0.25">
      <c r="A5114" t="s">
        <v>6</v>
      </c>
      <c r="B5114" s="5" t="str">
        <f>HYPERLINK("http://www.broadinstitute.org/gsea/msigdb/cards/GOBP_INTRINSIC_APOPTOTIC_SIGNALING_PATHWAY_BY_P53_CLASS_MEDIATOR.html","GOBP_INTRINSIC_APOPTOTIC_SIGNALING_PATHWAY_BY_P53_CLASS_MEDIATOR")</f>
        <v>GOBP_INTRINSIC_APOPTOTIC_SIGNALING_PATHWAY_BY_P53_CLASS_MEDIATOR</v>
      </c>
      <c r="C5114" s="4">
        <v>87</v>
      </c>
      <c r="D5114" s="3">
        <v>-0.95667999999999997</v>
      </c>
      <c r="E5114" s="1">
        <v>0.54046243000000005</v>
      </c>
      <c r="F5114" s="2">
        <v>0.75730807</v>
      </c>
    </row>
    <row r="5115" spans="1:6" x14ac:dyDescent="0.25">
      <c r="A5115" t="s">
        <v>6</v>
      </c>
      <c r="B5115" s="5" t="str">
        <f>HYPERLINK("http://www.broadinstitute.org/gsea/msigdb/cards/GOBP_REGULATION_OF_CELLULAR_RESPONSE_TO_HYPOXIA.html","GOBP_REGULATION_OF_CELLULAR_RESPONSE_TO_HYPOXIA")</f>
        <v>GOBP_REGULATION_OF_CELLULAR_RESPONSE_TO_HYPOXIA</v>
      </c>
      <c r="C5115" s="4">
        <v>26</v>
      </c>
      <c r="D5115" s="3">
        <v>-0.95670502999999996</v>
      </c>
      <c r="E5115" s="1">
        <v>0.505</v>
      </c>
      <c r="F5115" s="2">
        <v>0.75772934999999997</v>
      </c>
    </row>
    <row r="5116" spans="1:6" x14ac:dyDescent="0.25">
      <c r="A5116" t="s">
        <v>6</v>
      </c>
      <c r="B5116" s="5" t="str">
        <f>HYPERLINK("http://www.broadinstitute.org/gsea/msigdb/cards/GOBP_POSITIVE_REGULATION_OF_NEURON_DIFFERENTIATION.html","GOBP_POSITIVE_REGULATION_OF_NEURON_DIFFERENTIATION")</f>
        <v>GOBP_POSITIVE_REGULATION_OF_NEURON_DIFFERENTIATION</v>
      </c>
      <c r="C5116" s="4">
        <v>112</v>
      </c>
      <c r="D5116" s="3">
        <v>-0.95721286999999999</v>
      </c>
      <c r="E5116" s="1">
        <v>0.54658382999999999</v>
      </c>
      <c r="F5116" s="2">
        <v>0.75672530000000005</v>
      </c>
    </row>
    <row r="5117" spans="1:6" x14ac:dyDescent="0.25">
      <c r="A5117" t="s">
        <v>6</v>
      </c>
      <c r="B5117" s="5" t="str">
        <f>HYPERLINK("http://www.broadinstitute.org/gsea/msigdb/cards/GOBP_POSITIVE_REGULATION_OF_MITOTIC_CELL_CYCLE.html","GOBP_POSITIVE_REGULATION_OF_MITOTIC_CELL_CYCLE")</f>
        <v>GOBP_POSITIVE_REGULATION_OF_MITOTIC_CELL_CYCLE</v>
      </c>
      <c r="C5117" s="4">
        <v>127</v>
      </c>
      <c r="D5117" s="3">
        <v>-0.95769835000000003</v>
      </c>
      <c r="E5117" s="1">
        <v>0.57784429999999998</v>
      </c>
      <c r="F5117" s="2">
        <v>0.75574220000000003</v>
      </c>
    </row>
    <row r="5118" spans="1:6" x14ac:dyDescent="0.25">
      <c r="A5118" t="s">
        <v>6</v>
      </c>
      <c r="B5118" s="5" t="str">
        <f>HYPERLINK("http://www.broadinstitute.org/gsea/msigdb/cards/GOBP_POSITIVE_REGULATION_OF_CAMP_MEDIATED_SIGNALING.html","GOBP_POSITIVE_REGULATION_OF_CAMP_MEDIATED_SIGNALING")</f>
        <v>GOBP_POSITIVE_REGULATION_OF_CAMP_MEDIATED_SIGNALING</v>
      </c>
      <c r="C5118" s="4">
        <v>27</v>
      </c>
      <c r="D5118" s="3">
        <v>-0.95795850000000005</v>
      </c>
      <c r="E5118" s="1">
        <v>0.51666665000000001</v>
      </c>
      <c r="F5118" s="2">
        <v>0.75547319999999996</v>
      </c>
    </row>
    <row r="5119" spans="1:6" x14ac:dyDescent="0.25">
      <c r="A5119" t="s">
        <v>6</v>
      </c>
      <c r="B5119" s="5" t="str">
        <f>HYPERLINK("http://www.broadinstitute.org/gsea/msigdb/cards/GOBP_POSITIVE_REGULATION_OF_NERVOUS_SYSTEM_PROCESS.html","GOBP_POSITIVE_REGULATION_OF_NERVOUS_SYSTEM_PROCESS")</f>
        <v>GOBP_POSITIVE_REGULATION_OF_NERVOUS_SYSTEM_PROCESS</v>
      </c>
      <c r="C5119" s="4">
        <v>48</v>
      </c>
      <c r="D5119" s="3">
        <v>-0.95801705000000004</v>
      </c>
      <c r="E5119" s="1">
        <v>0.52538072999999996</v>
      </c>
      <c r="F5119" s="2">
        <v>0.75580049999999999</v>
      </c>
    </row>
    <row r="5120" spans="1:6" x14ac:dyDescent="0.25">
      <c r="A5120" t="s">
        <v>6</v>
      </c>
      <c r="B5120" s="5" t="str">
        <f>HYPERLINK("http://www.broadinstitute.org/gsea/msigdb/cards/GOBP_REGULATION_OF_CYTOSOLIC_CALCIUM_ION_CONCENTRATION.html","GOBP_REGULATION_OF_CYTOSOLIC_CALCIUM_ION_CONCENTRATION")</f>
        <v>GOBP_REGULATION_OF_CYTOSOLIC_CALCIUM_ION_CONCENTRATION</v>
      </c>
      <c r="C5120" s="4">
        <v>68</v>
      </c>
      <c r="D5120" s="3">
        <v>-0.95806605</v>
      </c>
      <c r="E5120" s="1">
        <v>0.5316092</v>
      </c>
      <c r="F5120" s="2">
        <v>0.75615619999999995</v>
      </c>
    </row>
    <row r="5121" spans="1:6" x14ac:dyDescent="0.25">
      <c r="A5121" t="s">
        <v>6</v>
      </c>
      <c r="B5121" s="5" t="str">
        <f>HYPERLINK("http://www.broadinstitute.org/gsea/msigdb/cards/GOBP_RESPONSE_TO_UV_B.html","GOBP_RESPONSE_TO_UV_B")</f>
        <v>GOBP_RESPONSE_TO_UV_B</v>
      </c>
      <c r="C5121" s="4">
        <v>22</v>
      </c>
      <c r="D5121" s="3">
        <v>-0.95843319999999999</v>
      </c>
      <c r="E5121" s="1">
        <v>0.51401870000000005</v>
      </c>
      <c r="F5121" s="2">
        <v>0.75553269999999995</v>
      </c>
    </row>
    <row r="5122" spans="1:6" x14ac:dyDescent="0.25">
      <c r="A5122" t="s">
        <v>7</v>
      </c>
      <c r="B5122" s="5" t="str">
        <f>HYPERLINK("http://www.broadinstitute.org/gsea/msigdb/cards/GOCC_INTEGRATOR_COMPLEX.html","GOCC_INTEGRATOR_COMPLEX")</f>
        <v>GOCC_INTEGRATOR_COMPLEX</v>
      </c>
      <c r="C5122" s="4">
        <v>19</v>
      </c>
      <c r="D5122" s="3">
        <v>-0.95844620000000003</v>
      </c>
      <c r="E5122" s="1">
        <v>0.52970295999999994</v>
      </c>
      <c r="F5122" s="2">
        <v>0.75599859999999997</v>
      </c>
    </row>
    <row r="5123" spans="1:6" x14ac:dyDescent="0.25">
      <c r="A5123" t="s">
        <v>10</v>
      </c>
      <c r="B5123" s="5" t="str">
        <f>HYPERLINK("http://www.broadinstitute.org/gsea/msigdb/cards/REACTOME_SIGNALING_BY_NOTCH1.html","REACTOME_SIGNALING_BY_NOTCH1")</f>
        <v>REACTOME_SIGNALING_BY_NOTCH1</v>
      </c>
      <c r="C5123" s="4">
        <v>18</v>
      </c>
      <c r="D5123" s="3">
        <v>-0.95876413999999999</v>
      </c>
      <c r="E5123" s="1">
        <v>0.52570090000000003</v>
      </c>
      <c r="F5123" s="2">
        <v>0.75556769999999995</v>
      </c>
    </row>
    <row r="5124" spans="1:6" x14ac:dyDescent="0.25">
      <c r="A5124" t="s">
        <v>6</v>
      </c>
      <c r="B5124" s="5" t="str">
        <f>HYPERLINK("http://www.broadinstitute.org/gsea/msigdb/cards/GOBP_POSITIVE_REGULATION_OF_TRANSCRIPTION_REGULATORY_REGION_DNA_BINDING.html","GOBP_POSITIVE_REGULATION_OF_TRANSCRIPTION_REGULATORY_REGION_DNA_BINDING")</f>
        <v>GOBP_POSITIVE_REGULATION_OF_TRANSCRIPTION_REGULATORY_REGION_DNA_BINDING</v>
      </c>
      <c r="C5124" s="4">
        <v>25</v>
      </c>
      <c r="D5124" s="3">
        <v>-0.95877460000000003</v>
      </c>
      <c r="E5124" s="1">
        <v>0.51620370000000004</v>
      </c>
      <c r="F5124" s="2">
        <v>0.75603770000000003</v>
      </c>
    </row>
    <row r="5125" spans="1:6" x14ac:dyDescent="0.25">
      <c r="A5125" t="s">
        <v>6</v>
      </c>
      <c r="B5125" s="5" t="str">
        <f>HYPERLINK("http://www.broadinstitute.org/gsea/msigdb/cards/GOBP_CALCIUM_ION_REGULATED_EXOCYTOSIS.html","GOBP_CALCIUM_ION_REGULATED_EXOCYTOSIS")</f>
        <v>GOBP_CALCIUM_ION_REGULATED_EXOCYTOSIS</v>
      </c>
      <c r="C5125" s="4">
        <v>74</v>
      </c>
      <c r="D5125" s="3">
        <v>-0.95913254999999997</v>
      </c>
      <c r="E5125" s="1">
        <v>0.5443038</v>
      </c>
      <c r="F5125" s="2">
        <v>0.75545810000000002</v>
      </c>
    </row>
    <row r="5126" spans="1:6" x14ac:dyDescent="0.25">
      <c r="A5126" t="s">
        <v>6</v>
      </c>
      <c r="B5126" s="5" t="str">
        <f>HYPERLINK("http://www.broadinstitute.org/gsea/msigdb/cards/GOBP_CELLULAR_RESPONSE_TO_STEROL.html","GOBP_CELLULAR_RESPONSE_TO_STEROL")</f>
        <v>GOBP_CELLULAR_RESPONSE_TO_STEROL</v>
      </c>
      <c r="C5126" s="4">
        <v>26</v>
      </c>
      <c r="D5126" s="3">
        <v>-0.95938259999999997</v>
      </c>
      <c r="E5126" s="1">
        <v>0.50241550000000001</v>
      </c>
      <c r="F5126" s="2">
        <v>0.75521839999999996</v>
      </c>
    </row>
    <row r="5127" spans="1:6" x14ac:dyDescent="0.25">
      <c r="A5127" t="s">
        <v>7</v>
      </c>
      <c r="B5127" s="5" t="str">
        <f>HYPERLINK("http://www.broadinstitute.org/gsea/msigdb/cards/GOCC_REPLICATION_FORK.html","GOCC_REPLICATION_FORK")</f>
        <v>GOCC_REPLICATION_FORK</v>
      </c>
      <c r="C5127" s="4">
        <v>72</v>
      </c>
      <c r="D5127" s="3">
        <v>-0.95994829999999998</v>
      </c>
      <c r="E5127" s="1">
        <v>0.53513515</v>
      </c>
      <c r="F5127" s="2">
        <v>0.75398796999999995</v>
      </c>
    </row>
    <row r="5128" spans="1:6" x14ac:dyDescent="0.25">
      <c r="A5128" t="s">
        <v>10</v>
      </c>
      <c r="B5128" s="5" t="str">
        <f>HYPERLINK("http://www.broadinstitute.org/gsea/msigdb/cards/REACTOME_HDR_THROUGH_HOMOLOGOUS_RECOMBINATION_HRR.html","REACTOME_HDR_THROUGH_HOMOLOGOUS_RECOMBINATION_HRR")</f>
        <v>REACTOME_HDR_THROUGH_HOMOLOGOUS_RECOMBINATION_HRR</v>
      </c>
      <c r="C5128" s="4">
        <v>55</v>
      </c>
      <c r="D5128" s="3">
        <v>-0.96007819999999999</v>
      </c>
      <c r="E5128" s="1">
        <v>0.53045684000000004</v>
      </c>
      <c r="F5128" s="2">
        <v>0.75411265999999999</v>
      </c>
    </row>
    <row r="5129" spans="1:6" x14ac:dyDescent="0.25">
      <c r="A5129" t="s">
        <v>6</v>
      </c>
      <c r="B5129" s="5" t="str">
        <f>HYPERLINK("http://www.broadinstitute.org/gsea/msigdb/cards/GOBP_RHYTHMIC_BEHAVIOR.html","GOBP_RHYTHMIC_BEHAVIOR")</f>
        <v>GOBP_RHYTHMIC_BEHAVIOR</v>
      </c>
      <c r="C5129" s="4">
        <v>68</v>
      </c>
      <c r="D5129" s="3">
        <v>-0.96082400000000001</v>
      </c>
      <c r="E5129" s="1">
        <v>0.53089887000000002</v>
      </c>
      <c r="F5129" s="2">
        <v>0.75234109999999998</v>
      </c>
    </row>
    <row r="5130" spans="1:6" x14ac:dyDescent="0.25">
      <c r="A5130" t="s">
        <v>6</v>
      </c>
      <c r="B5130" s="5" t="str">
        <f>HYPERLINK("http://www.broadinstitute.org/gsea/msigdb/cards/GOBP_QUATERNARY_AMMONIUM_GROUP_TRANSPORT.html","GOBP_QUATERNARY_AMMONIUM_GROUP_TRANSPORT")</f>
        <v>GOBP_QUATERNARY_AMMONIUM_GROUP_TRANSPORT</v>
      </c>
      <c r="C5130" s="4">
        <v>33</v>
      </c>
      <c r="D5130" s="3">
        <v>-0.96088487</v>
      </c>
      <c r="E5130" s="1">
        <v>0.51758795999999996</v>
      </c>
      <c r="F5130" s="2">
        <v>0.75263864000000003</v>
      </c>
    </row>
    <row r="5131" spans="1:6" x14ac:dyDescent="0.25">
      <c r="A5131" t="s">
        <v>11</v>
      </c>
      <c r="B5131" s="5" t="str">
        <f>HYPERLINK("http://www.broadinstitute.org/gsea/msigdb/cards/WP_ID_SIGNALING_PATHWAY.html","WP_ID_SIGNALING_PATHWAY")</f>
        <v>WP_ID_SIGNALING_PATHWAY</v>
      </c>
      <c r="C5131" s="4">
        <v>50</v>
      </c>
      <c r="D5131" s="3">
        <v>-0.96089696999999996</v>
      </c>
      <c r="E5131" s="1">
        <v>0.51813469999999995</v>
      </c>
      <c r="F5131" s="2">
        <v>0.75311123999999996</v>
      </c>
    </row>
    <row r="5132" spans="1:6" x14ac:dyDescent="0.25">
      <c r="A5132" t="s">
        <v>6</v>
      </c>
      <c r="B5132" s="5" t="str">
        <f>HYPERLINK("http://www.broadinstitute.org/gsea/msigdb/cards/GOBP_CARDIAC_ATRIUM_DEVELOPMENT.html","GOBP_CARDIAC_ATRIUM_DEVELOPMENT")</f>
        <v>GOBP_CARDIAC_ATRIUM_DEVELOPMENT</v>
      </c>
      <c r="C5132" s="4">
        <v>38</v>
      </c>
      <c r="D5132" s="3">
        <v>-0.96128610000000003</v>
      </c>
      <c r="E5132" s="1">
        <v>0.52699225999999999</v>
      </c>
      <c r="F5132" s="2">
        <v>0.75242690000000001</v>
      </c>
    </row>
    <row r="5133" spans="1:6" x14ac:dyDescent="0.25">
      <c r="A5133" t="s">
        <v>6</v>
      </c>
      <c r="B5133" s="5" t="str">
        <f>HYPERLINK("http://www.broadinstitute.org/gsea/msigdb/cards/GOBP_POSITIVE_REGULATION_OF_SEQUESTERING_OF_CALCIUM_ION.html","GOBP_POSITIVE_REGULATION_OF_SEQUESTERING_OF_CALCIUM_ION")</f>
        <v>GOBP_POSITIVE_REGULATION_OF_SEQUESTERING_OF_CALCIUM_ION</v>
      </c>
      <c r="C5133" s="4">
        <v>15</v>
      </c>
      <c r="D5133" s="3">
        <v>-0.96140570000000003</v>
      </c>
      <c r="E5133" s="1">
        <v>0.52214450000000001</v>
      </c>
      <c r="F5133" s="2">
        <v>0.75259100000000001</v>
      </c>
    </row>
    <row r="5134" spans="1:6" x14ac:dyDescent="0.25">
      <c r="A5134" t="s">
        <v>6</v>
      </c>
      <c r="B5134" s="5" t="str">
        <f>HYPERLINK("http://www.broadinstitute.org/gsea/msigdb/cards/GOBP_ORGANELLE_TRANSPORT_ALONG_MICROTUBULE.html","GOBP_ORGANELLE_TRANSPORT_ALONG_MICROTUBULE")</f>
        <v>GOBP_ORGANELLE_TRANSPORT_ALONG_MICROTUBULE</v>
      </c>
      <c r="C5134" s="4">
        <v>87</v>
      </c>
      <c r="D5134" s="3">
        <v>-0.96145740000000002</v>
      </c>
      <c r="E5134" s="1">
        <v>0.54360470000000005</v>
      </c>
      <c r="F5134" s="2">
        <v>0.75293772999999997</v>
      </c>
    </row>
    <row r="5135" spans="1:6" x14ac:dyDescent="0.25">
      <c r="A5135" t="s">
        <v>10</v>
      </c>
      <c r="B5135" s="5" t="str">
        <f>HYPERLINK("http://www.broadinstitute.org/gsea/msigdb/cards/REACTOME_RND2_GTPASE_CYCLE.html","REACTOME_RND2_GTPASE_CYCLE")</f>
        <v>REACTOME_RND2_GTPASE_CYCLE</v>
      </c>
      <c r="C5135" s="4">
        <v>43</v>
      </c>
      <c r="D5135" s="3">
        <v>-0.96150190000000002</v>
      </c>
      <c r="E5135" s="1">
        <v>0.52358490000000002</v>
      </c>
      <c r="F5135" s="2">
        <v>0.75330819999999998</v>
      </c>
    </row>
    <row r="5136" spans="1:6" x14ac:dyDescent="0.25">
      <c r="A5136" t="s">
        <v>10</v>
      </c>
      <c r="B5136" s="5" t="str">
        <f>HYPERLINK("http://www.broadinstitute.org/gsea/msigdb/cards/REACTOME_PROCESSIVE_SYNTHESIS_ON_THE_C_STRAND_OF_THE_TELOMERE.html","REACTOME_PROCESSIVE_SYNTHESIS_ON_THE_C_STRAND_OF_THE_TELOMERE")</f>
        <v>REACTOME_PROCESSIVE_SYNTHESIS_ON_THE_C_STRAND_OF_THE_TELOMERE</v>
      </c>
      <c r="C5136" s="4">
        <v>17</v>
      </c>
      <c r="D5136" s="3">
        <v>-0.96191159999999998</v>
      </c>
      <c r="E5136" s="1">
        <v>0.49302325000000002</v>
      </c>
      <c r="F5136" s="2">
        <v>0.75260883999999995</v>
      </c>
    </row>
    <row r="5137" spans="1:6" x14ac:dyDescent="0.25">
      <c r="A5137" t="s">
        <v>6</v>
      </c>
      <c r="B5137" s="5" t="str">
        <f>HYPERLINK("http://www.broadinstitute.org/gsea/msigdb/cards/GOBP_CENTRAL_NERVOUS_SYSTEM_NEURON_DEVELOPMENT.html","GOBP_CENTRAL_NERVOUS_SYSTEM_NEURON_DEVELOPMENT")</f>
        <v>GOBP_CENTRAL_NERVOUS_SYSTEM_NEURON_DEVELOPMENT</v>
      </c>
      <c r="C5137" s="4">
        <v>98</v>
      </c>
      <c r="D5137" s="3">
        <v>-0.96290640000000005</v>
      </c>
      <c r="E5137" s="1">
        <v>0.52089136999999996</v>
      </c>
      <c r="F5137" s="2">
        <v>0.75013726999999997</v>
      </c>
    </row>
    <row r="5138" spans="1:6" x14ac:dyDescent="0.25">
      <c r="A5138" t="s">
        <v>10</v>
      </c>
      <c r="B5138" s="5" t="str">
        <f>HYPERLINK("http://www.broadinstitute.org/gsea/msigdb/cards/REACTOME_FORMATION_OF_THE_CORNIFIED_ENVELOPE.html","REACTOME_FORMATION_OF_THE_CORNIFIED_ENVELOPE")</f>
        <v>REACTOME_FORMATION_OF_THE_CORNIFIED_ENVELOPE</v>
      </c>
      <c r="C5138" s="4">
        <v>81</v>
      </c>
      <c r="D5138" s="3">
        <v>-0.96350170000000002</v>
      </c>
      <c r="E5138" s="1">
        <v>0.53115725999999996</v>
      </c>
      <c r="F5138" s="2">
        <v>0.74887424999999996</v>
      </c>
    </row>
    <row r="5139" spans="1:6" x14ac:dyDescent="0.25">
      <c r="A5139" t="s">
        <v>8</v>
      </c>
      <c r="B5139" s="5" t="str">
        <f>HYPERLINK("http://www.broadinstitute.org/gsea/msigdb/cards/GOMF_GENERAL_TRANSCRIPTION_INITIATION_FACTOR_ACTIVITY.html","GOMF_GENERAL_TRANSCRIPTION_INITIATION_FACTOR_ACTIVITY")</f>
        <v>GOMF_GENERAL_TRANSCRIPTION_INITIATION_FACTOR_ACTIVITY</v>
      </c>
      <c r="C5139" s="4">
        <v>45</v>
      </c>
      <c r="D5139" s="3">
        <v>-0.96378540000000001</v>
      </c>
      <c r="E5139" s="1">
        <v>0.4903846</v>
      </c>
      <c r="F5139" s="2">
        <v>0.74855839999999996</v>
      </c>
    </row>
    <row r="5140" spans="1:6" x14ac:dyDescent="0.25">
      <c r="A5140" t="s">
        <v>6</v>
      </c>
      <c r="B5140" s="5" t="str">
        <f>HYPERLINK("http://www.broadinstitute.org/gsea/msigdb/cards/GOBP_RETINA_DEVELOPMENT_IN_CAMERA_TYPE_EYE.html","GOBP_RETINA_DEVELOPMENT_IN_CAMERA_TYPE_EYE")</f>
        <v>GOBP_RETINA_DEVELOPMENT_IN_CAMERA_TYPE_EYE</v>
      </c>
      <c r="C5140" s="4">
        <v>169</v>
      </c>
      <c r="D5140" s="3">
        <v>-0.96403234999999998</v>
      </c>
      <c r="E5140" s="1">
        <v>0.55660379999999998</v>
      </c>
      <c r="F5140" s="2">
        <v>0.74831694000000004</v>
      </c>
    </row>
    <row r="5141" spans="1:6" x14ac:dyDescent="0.25">
      <c r="A5141" t="s">
        <v>6</v>
      </c>
      <c r="B5141" s="5" t="str">
        <f>HYPERLINK("http://www.broadinstitute.org/gsea/msigdb/cards/GOBP_REGULATION_OF_PROTEASOMAL_PROTEIN_CATABOLIC_PROCESS.html","GOBP_REGULATION_OF_PROTEASOMAL_PROTEIN_CATABOLIC_PROCESS")</f>
        <v>GOBP_REGULATION_OF_PROTEASOMAL_PROTEIN_CATABOLIC_PROCESS</v>
      </c>
      <c r="C5141" s="4">
        <v>190</v>
      </c>
      <c r="D5141" s="3">
        <v>-0.96422390000000002</v>
      </c>
      <c r="E5141" s="1">
        <v>0.57239055999999999</v>
      </c>
      <c r="F5141" s="2">
        <v>0.74824475999999995</v>
      </c>
    </row>
    <row r="5142" spans="1:6" x14ac:dyDescent="0.25">
      <c r="A5142" t="s">
        <v>6</v>
      </c>
      <c r="B5142" s="5" t="str">
        <f>HYPERLINK("http://www.broadinstitute.org/gsea/msigdb/cards/GOBP_POSITIVE_REGULATION_OF_PROTEIN_UBIQUITINATION.html","GOBP_POSITIVE_REGULATION_OF_PROTEIN_UBIQUITINATION")</f>
        <v>GOBP_POSITIVE_REGULATION_OF_PROTEIN_UBIQUITINATION</v>
      </c>
      <c r="C5142" s="4">
        <v>116</v>
      </c>
      <c r="D5142" s="3">
        <v>-0.96453135999999995</v>
      </c>
      <c r="E5142" s="1">
        <v>0.54682779999999998</v>
      </c>
      <c r="F5142" s="2">
        <v>0.74782276000000003</v>
      </c>
    </row>
    <row r="5143" spans="1:6" x14ac:dyDescent="0.25">
      <c r="A5143" t="s">
        <v>5</v>
      </c>
      <c r="B5143" s="5" t="str">
        <f>HYPERLINK("http://www.broadinstitute.org/gsea/msigdb/cards/BIOCARTA_MAL_PATHWAY.html","BIOCARTA_MAL_PATHWAY")</f>
        <v>BIOCARTA_MAL_PATHWAY</v>
      </c>
      <c r="C5143" s="4">
        <v>18</v>
      </c>
      <c r="D5143" s="3">
        <v>-0.96503419999999995</v>
      </c>
      <c r="E5143" s="1">
        <v>0.46726862000000002</v>
      </c>
      <c r="F5143" s="2">
        <v>0.74684684999999995</v>
      </c>
    </row>
    <row r="5144" spans="1:6" x14ac:dyDescent="0.25">
      <c r="A5144" t="s">
        <v>6</v>
      </c>
      <c r="B5144" s="5" t="str">
        <f>HYPERLINK("http://www.broadinstitute.org/gsea/msigdb/cards/GOBP_REGULATION_OF_THE_FORCE_OF_HEART_CONTRACTION.html","GOBP_REGULATION_OF_THE_FORCE_OF_HEART_CONTRACTION")</f>
        <v>GOBP_REGULATION_OF_THE_FORCE_OF_HEART_CONTRACTION</v>
      </c>
      <c r="C5144" s="4">
        <v>31</v>
      </c>
      <c r="D5144" s="3">
        <v>-0.96573940000000003</v>
      </c>
      <c r="E5144" s="1">
        <v>0.49635037999999998</v>
      </c>
      <c r="F5144" s="2">
        <v>0.74523859999999997</v>
      </c>
    </row>
    <row r="5145" spans="1:6" x14ac:dyDescent="0.25">
      <c r="A5145" t="s">
        <v>6</v>
      </c>
      <c r="B5145" s="5" t="str">
        <f>HYPERLINK("http://www.broadinstitute.org/gsea/msigdb/cards/GOBP_CELL_MIGRATION_IN_HINDBRAIN.html","GOBP_CELL_MIGRATION_IN_HINDBRAIN")</f>
        <v>GOBP_CELL_MIGRATION_IN_HINDBRAIN</v>
      </c>
      <c r="C5145" s="4">
        <v>23</v>
      </c>
      <c r="D5145" s="3">
        <v>-0.96631663999999995</v>
      </c>
      <c r="E5145" s="1">
        <v>0.48232322999999999</v>
      </c>
      <c r="F5145" s="2">
        <v>0.74400920000000004</v>
      </c>
    </row>
    <row r="5146" spans="1:6" x14ac:dyDescent="0.25">
      <c r="A5146" t="s">
        <v>6</v>
      </c>
      <c r="B5146" s="5" t="str">
        <f>HYPERLINK("http://www.broadinstitute.org/gsea/msigdb/cards/GOBP_POSITIVE_REGULATION_OF_TRANSLATION.html","GOBP_POSITIVE_REGULATION_OF_TRANSLATION")</f>
        <v>GOBP_POSITIVE_REGULATION_OF_TRANSLATION</v>
      </c>
      <c r="C5146" s="4">
        <v>138</v>
      </c>
      <c r="D5146" s="3">
        <v>-0.96643100000000004</v>
      </c>
      <c r="E5146" s="1">
        <v>0.55102039999999997</v>
      </c>
      <c r="F5146" s="2">
        <v>0.74415810000000004</v>
      </c>
    </row>
    <row r="5147" spans="1:6" x14ac:dyDescent="0.25">
      <c r="A5147" t="s">
        <v>8</v>
      </c>
      <c r="B5147" s="5" t="str">
        <f>HYPERLINK("http://www.broadinstitute.org/gsea/msigdb/cards/GOMF_VOLTAGE_GATED_CHANNEL_ACTIVITY.html","GOMF_VOLTAGE_GATED_CHANNEL_ACTIVITY")</f>
        <v>GOMF_VOLTAGE_GATED_CHANNEL_ACTIVITY</v>
      </c>
      <c r="C5147" s="4">
        <v>193</v>
      </c>
      <c r="D5147" s="3">
        <v>-0.96657720000000003</v>
      </c>
      <c r="E5147" s="1">
        <v>0.55592109999999995</v>
      </c>
      <c r="F5147" s="2">
        <v>0.74418079999999998</v>
      </c>
    </row>
    <row r="5148" spans="1:6" x14ac:dyDescent="0.25">
      <c r="A5148" t="s">
        <v>6</v>
      </c>
      <c r="B5148" s="5" t="str">
        <f>HYPERLINK("http://www.broadinstitute.org/gsea/msigdb/cards/GOBP_SYNAPTIC_VESICLE_CYTOSKELETAL_TRANSPORT.html","GOBP_SYNAPTIC_VESICLE_CYTOSKELETAL_TRANSPORT")</f>
        <v>GOBP_SYNAPTIC_VESICLE_CYTOSKELETAL_TRANSPORT</v>
      </c>
      <c r="C5148" s="4">
        <v>20</v>
      </c>
      <c r="D5148" s="3">
        <v>-0.96698930000000005</v>
      </c>
      <c r="E5148" s="1">
        <v>0.48946136000000001</v>
      </c>
      <c r="F5148" s="2">
        <v>0.74345709999999998</v>
      </c>
    </row>
    <row r="5149" spans="1:6" x14ac:dyDescent="0.25">
      <c r="A5149" t="s">
        <v>6</v>
      </c>
      <c r="B5149" s="5" t="str">
        <f>HYPERLINK("http://www.broadinstitute.org/gsea/msigdb/cards/GOBP_MELANOCYTE_DIFFERENTIATION.html","GOBP_MELANOCYTE_DIFFERENTIATION")</f>
        <v>GOBP_MELANOCYTE_DIFFERENTIATION</v>
      </c>
      <c r="C5149" s="4">
        <v>28</v>
      </c>
      <c r="D5149" s="3">
        <v>-0.96707050000000006</v>
      </c>
      <c r="E5149" s="1">
        <v>0.51201920000000001</v>
      </c>
      <c r="F5149" s="2">
        <v>0.74371889999999996</v>
      </c>
    </row>
    <row r="5150" spans="1:6" x14ac:dyDescent="0.25">
      <c r="A5150" t="s">
        <v>5</v>
      </c>
      <c r="B5150" s="5" t="str">
        <f>HYPERLINK("http://www.broadinstitute.org/gsea/msigdb/cards/BIOCARTA_CREB_PATHWAY.html","BIOCARTA_CREB_PATHWAY")</f>
        <v>BIOCARTA_CREB_PATHWAY</v>
      </c>
      <c r="C5150" s="4">
        <v>20</v>
      </c>
      <c r="D5150" s="3">
        <v>-0.96718400000000004</v>
      </c>
      <c r="E5150" s="1">
        <v>0.50119906999999997</v>
      </c>
      <c r="F5150" s="2">
        <v>0.74388160000000003</v>
      </c>
    </row>
    <row r="5151" spans="1:6" x14ac:dyDescent="0.25">
      <c r="A5151" t="s">
        <v>6</v>
      </c>
      <c r="B5151" s="5" t="str">
        <f>HYPERLINK("http://www.broadinstitute.org/gsea/msigdb/cards/GOBP_CILIUM_OR_FLAGELLUM_DEPENDENT_CELL_MOTILITY.html","GOBP_CILIUM_OR_FLAGELLUM_DEPENDENT_CELL_MOTILITY")</f>
        <v>GOBP_CILIUM_OR_FLAGELLUM_DEPENDENT_CELL_MOTILITY</v>
      </c>
      <c r="C5151" s="4">
        <v>173</v>
      </c>
      <c r="D5151" s="3">
        <v>-0.9672423</v>
      </c>
      <c r="E5151" s="1">
        <v>0.56081080000000005</v>
      </c>
      <c r="F5151" s="2">
        <v>0.74421512999999995</v>
      </c>
    </row>
    <row r="5152" spans="1:6" x14ac:dyDescent="0.25">
      <c r="A5152" t="s">
        <v>11</v>
      </c>
      <c r="B5152" s="5" t="str">
        <f>HYPERLINK("http://www.broadinstitute.org/gsea/msigdb/cards/WP_WNT_SIGNALING_PATHWAY_WP403.html","WP_WNT_SIGNALING_PATHWAY_WP403")</f>
        <v>WP_WNT_SIGNALING_PATHWAY_WP403</v>
      </c>
      <c r="C5152" s="4">
        <v>60</v>
      </c>
      <c r="D5152" s="3">
        <v>-0.96743447000000005</v>
      </c>
      <c r="E5152" s="1">
        <v>0.49865952000000002</v>
      </c>
      <c r="F5152" s="2">
        <v>0.74414040000000004</v>
      </c>
    </row>
    <row r="5153" spans="1:6" x14ac:dyDescent="0.25">
      <c r="A5153" t="s">
        <v>10</v>
      </c>
      <c r="B5153" s="5" t="str">
        <f>HYPERLINK("http://www.broadinstitute.org/gsea/msigdb/cards/REACTOME_DOPAMINE_NEUROTRANSMITTER_RELEASE_CYCLE.html","REACTOME_DOPAMINE_NEUROTRANSMITTER_RELEASE_CYCLE")</f>
        <v>REACTOME_DOPAMINE_NEUROTRANSMITTER_RELEASE_CYCLE</v>
      </c>
      <c r="C5153" s="4">
        <v>23</v>
      </c>
      <c r="D5153" s="3">
        <v>-0.96752680000000002</v>
      </c>
      <c r="E5153" s="1">
        <v>0.5</v>
      </c>
      <c r="F5153" s="2">
        <v>0.74437489999999995</v>
      </c>
    </row>
    <row r="5154" spans="1:6" x14ac:dyDescent="0.25">
      <c r="A5154" t="s">
        <v>6</v>
      </c>
      <c r="B5154" s="5" t="str">
        <f>HYPERLINK("http://www.broadinstitute.org/gsea/msigdb/cards/GOBP_CRANIAL_SKELETAL_SYSTEM_DEVELOPMENT.html","GOBP_CRANIAL_SKELETAL_SYSTEM_DEVELOPMENT")</f>
        <v>GOBP_CRANIAL_SKELETAL_SYSTEM_DEVELOPMENT</v>
      </c>
      <c r="C5154" s="4">
        <v>80</v>
      </c>
      <c r="D5154" s="3">
        <v>-0.96824929999999998</v>
      </c>
      <c r="E5154" s="1">
        <v>0.52325580000000005</v>
      </c>
      <c r="F5154" s="2">
        <v>0.74264609999999998</v>
      </c>
    </row>
    <row r="5155" spans="1:6" x14ac:dyDescent="0.25">
      <c r="A5155" t="s">
        <v>10</v>
      </c>
      <c r="B5155" s="5" t="str">
        <f>HYPERLINK("http://www.broadinstitute.org/gsea/msigdb/cards/REACTOME_NEUROTRANSMITTER_RECEPTORS_AND_POSTSYNAPTIC_SIGNAL_TRANSMISSION.html","REACTOME_NEUROTRANSMITTER_RECEPTORS_AND_POSTSYNAPTIC_SIGNAL_TRANSMISSION")</f>
        <v>REACTOME_NEUROTRANSMITTER_RECEPTORS_AND_POSTSYNAPTIC_SIGNAL_TRANSMISSION</v>
      </c>
      <c r="C5155" s="4">
        <v>137</v>
      </c>
      <c r="D5155" s="3">
        <v>-0.96828219999999998</v>
      </c>
      <c r="E5155" s="1">
        <v>0.53963417000000002</v>
      </c>
      <c r="F5155" s="2">
        <v>0.74304199999999998</v>
      </c>
    </row>
    <row r="5156" spans="1:6" x14ac:dyDescent="0.25">
      <c r="A5156" t="s">
        <v>9</v>
      </c>
      <c r="B5156" s="5" t="str">
        <f>HYPERLINK("http://www.broadinstitute.org/gsea/msigdb/cards/HALLMARK_UV_RESPONSE_UP.html","HALLMARK_UV_RESPONSE_UP")</f>
        <v>HALLMARK_UV_RESPONSE_UP</v>
      </c>
      <c r="C5156" s="4">
        <v>155</v>
      </c>
      <c r="D5156" s="3">
        <v>-0.96908229999999995</v>
      </c>
      <c r="E5156" s="1">
        <v>0.54723126</v>
      </c>
      <c r="F5156" s="2">
        <v>0.74116400000000004</v>
      </c>
    </row>
    <row r="5157" spans="1:6" x14ac:dyDescent="0.25">
      <c r="A5157" t="s">
        <v>6</v>
      </c>
      <c r="B5157" s="5" t="str">
        <f>HYPERLINK("http://www.broadinstitute.org/gsea/msigdb/cards/GOBP_MAINTENANCE_OF_PROTEIN_LOCALIZATION_IN_ORGANELLE.html","GOBP_MAINTENANCE_OF_PROTEIN_LOCALIZATION_IN_ORGANELLE")</f>
        <v>GOBP_MAINTENANCE_OF_PROTEIN_LOCALIZATION_IN_ORGANELLE</v>
      </c>
      <c r="C5157" s="4">
        <v>44</v>
      </c>
      <c r="D5157" s="3">
        <v>-0.96923459999999995</v>
      </c>
      <c r="E5157" s="1">
        <v>0.51200000000000001</v>
      </c>
      <c r="F5157" s="2">
        <v>0.74120337000000003</v>
      </c>
    </row>
    <row r="5158" spans="1:6" x14ac:dyDescent="0.25">
      <c r="A5158" t="s">
        <v>8</v>
      </c>
      <c r="B5158" s="5" t="str">
        <f>HYPERLINK("http://www.broadinstitute.org/gsea/msigdb/cards/GOMF_PROTEIN_SERINE_THREONINE_KINASE_ACTIVITY.html","GOMF_PROTEIN_SERINE_THREONINE_KINASE_ACTIVITY")</f>
        <v>GOMF_PROTEIN_SERINE_THREONINE_KINASE_ACTIVITY</v>
      </c>
      <c r="C5158" s="4">
        <v>420</v>
      </c>
      <c r="D5158" s="3">
        <v>-0.9693484</v>
      </c>
      <c r="E5158" s="1">
        <v>0.57847535999999999</v>
      </c>
      <c r="F5158" s="2">
        <v>0.74136066</v>
      </c>
    </row>
    <row r="5159" spans="1:6" x14ac:dyDescent="0.25">
      <c r="A5159" t="s">
        <v>11</v>
      </c>
      <c r="B5159" s="5" t="str">
        <f>HYPERLINK("http://www.broadinstitute.org/gsea/msigdb/cards/WP_MICRORNAS_IN_CARDIOMYOCYTE_HYPERTROPHY.html","WP_MICRORNAS_IN_CARDIOMYOCYTE_HYPERTROPHY")</f>
        <v>WP_MICRORNAS_IN_CARDIOMYOCYTE_HYPERTROPHY</v>
      </c>
      <c r="C5159" s="4">
        <v>82</v>
      </c>
      <c r="D5159" s="3">
        <v>-0.96940249999999994</v>
      </c>
      <c r="E5159" s="1">
        <v>0.51977399999999996</v>
      </c>
      <c r="F5159" s="2">
        <v>0.7417087</v>
      </c>
    </row>
    <row r="5160" spans="1:6" x14ac:dyDescent="0.25">
      <c r="A5160" t="s">
        <v>7</v>
      </c>
      <c r="B5160" s="5" t="str">
        <f>HYPERLINK("http://www.broadinstitute.org/gsea/msigdb/cards/GOCC_EXOCYTIC_VESICLE.html","GOCC_EXOCYTIC_VESICLE")</f>
        <v>GOCC_EXOCYTIC_VESICLE</v>
      </c>
      <c r="C5160" s="4">
        <v>277</v>
      </c>
      <c r="D5160" s="3">
        <v>-0.96942859999999997</v>
      </c>
      <c r="E5160" s="1">
        <v>0.59919029999999995</v>
      </c>
      <c r="F5160" s="2">
        <v>0.74213110000000004</v>
      </c>
    </row>
    <row r="5161" spans="1:6" x14ac:dyDescent="0.25">
      <c r="A5161" t="s">
        <v>8</v>
      </c>
      <c r="B5161" s="5" t="str">
        <f>HYPERLINK("http://www.broadinstitute.org/gsea/msigdb/cards/GOMF_ENDONUCLEASE_ACTIVITY.html","GOMF_ENDONUCLEASE_ACTIVITY")</f>
        <v>GOMF_ENDONUCLEASE_ACTIVITY</v>
      </c>
      <c r="C5161" s="4">
        <v>116</v>
      </c>
      <c r="D5161" s="3">
        <v>-0.96949786000000004</v>
      </c>
      <c r="E5161" s="1">
        <v>0.51779940000000002</v>
      </c>
      <c r="F5161" s="2">
        <v>0.7424366</v>
      </c>
    </row>
    <row r="5162" spans="1:6" x14ac:dyDescent="0.25">
      <c r="A5162" t="s">
        <v>6</v>
      </c>
      <c r="B5162" s="5" t="str">
        <f>HYPERLINK("http://www.broadinstitute.org/gsea/msigdb/cards/GOBP_REGULATION_OF_CHROMATIN_BINDING.html","GOBP_REGULATION_OF_CHROMATIN_BINDING")</f>
        <v>GOBP_REGULATION_OF_CHROMATIN_BINDING</v>
      </c>
      <c r="C5162" s="4">
        <v>24</v>
      </c>
      <c r="D5162" s="3">
        <v>-0.96957225000000002</v>
      </c>
      <c r="E5162" s="1">
        <v>0.50113379999999996</v>
      </c>
      <c r="F5162" s="2">
        <v>0.74272877000000004</v>
      </c>
    </row>
    <row r="5163" spans="1:6" x14ac:dyDescent="0.25">
      <c r="A5163" t="s">
        <v>11</v>
      </c>
      <c r="B5163" s="5" t="str">
        <f>HYPERLINK("http://www.broadinstitute.org/gsea/msigdb/cards/WP_GLYCEROLIPIDS_AND_GLYCEROPHOSPHOLIPIDS_WP5296.html","WP_GLYCEROLIPIDS_AND_GLYCEROPHOSPHOLIPIDS_WP5296")</f>
        <v>WP_GLYCEROLIPIDS_AND_GLYCEROPHOSPHOLIPIDS_WP5296</v>
      </c>
      <c r="C5163" s="4">
        <v>22</v>
      </c>
      <c r="D5163" s="3">
        <v>-0.97136330000000004</v>
      </c>
      <c r="E5163" s="1">
        <v>0.48300969999999999</v>
      </c>
      <c r="F5163" s="2">
        <v>0.73781909999999995</v>
      </c>
    </row>
    <row r="5164" spans="1:6" x14ac:dyDescent="0.25">
      <c r="A5164" t="s">
        <v>6</v>
      </c>
      <c r="B5164" s="5" t="str">
        <f>HYPERLINK("http://www.broadinstitute.org/gsea/msigdb/cards/GOBP_NEGATIVE_REGULATION_OF_DNA_METABOLIC_PROCESS.html","GOBP_NEGATIVE_REGULATION_OF_DNA_METABOLIC_PROCESS")</f>
        <v>GOBP_NEGATIVE_REGULATION_OF_DNA_METABOLIC_PROCESS</v>
      </c>
      <c r="C5164" s="4">
        <v>141</v>
      </c>
      <c r="D5164" s="3">
        <v>-0.97151810000000005</v>
      </c>
      <c r="E5164" s="1">
        <v>0.51666665000000001</v>
      </c>
      <c r="F5164" s="2">
        <v>0.73784479999999997</v>
      </c>
    </row>
    <row r="5165" spans="1:6" x14ac:dyDescent="0.25">
      <c r="A5165" t="s">
        <v>6</v>
      </c>
      <c r="B5165" s="5" t="str">
        <f>HYPERLINK("http://www.broadinstitute.org/gsea/msigdb/cards/GOBP_REGULATION_OF_STORE_OPERATED_CALCIUM_ENTRY.html","GOBP_REGULATION_OF_STORE_OPERATED_CALCIUM_ENTRY")</f>
        <v>GOBP_REGULATION_OF_STORE_OPERATED_CALCIUM_ENTRY</v>
      </c>
      <c r="C5165" s="4">
        <v>19</v>
      </c>
      <c r="D5165" s="3">
        <v>-0.9715684</v>
      </c>
      <c r="E5165" s="1">
        <v>0.51225489999999996</v>
      </c>
      <c r="F5165" s="2">
        <v>0.73820335000000004</v>
      </c>
    </row>
    <row r="5166" spans="1:6" x14ac:dyDescent="0.25">
      <c r="A5166" t="s">
        <v>7</v>
      </c>
      <c r="B5166" s="5" t="str">
        <f>HYPERLINK("http://www.broadinstitute.org/gsea/msigdb/cards/GOCC_GERM_CELL_NUCLEUS.html","GOCC_GERM_CELL_NUCLEUS")</f>
        <v>GOCC_GERM_CELL_NUCLEUS</v>
      </c>
      <c r="C5166" s="4">
        <v>93</v>
      </c>
      <c r="D5166" s="3">
        <v>-0.97199670000000005</v>
      </c>
      <c r="E5166" s="1">
        <v>0.50424930000000001</v>
      </c>
      <c r="F5166" s="2">
        <v>0.73741559999999995</v>
      </c>
    </row>
    <row r="5167" spans="1:6" x14ac:dyDescent="0.25">
      <c r="A5167" t="s">
        <v>6</v>
      </c>
      <c r="B5167" s="5" t="str">
        <f>HYPERLINK("http://www.broadinstitute.org/gsea/msigdb/cards/GOBP_ESTABLISHMENT_OF_SKIN_BARRIER.html","GOBP_ESTABLISHMENT_OF_SKIN_BARRIER")</f>
        <v>GOBP_ESTABLISHMENT_OF_SKIN_BARRIER</v>
      </c>
      <c r="C5167" s="4">
        <v>41</v>
      </c>
      <c r="D5167" s="3">
        <v>-0.97208459999999997</v>
      </c>
      <c r="E5167" s="1">
        <v>0.48009950000000001</v>
      </c>
      <c r="F5167" s="2">
        <v>0.73767143000000002</v>
      </c>
    </row>
    <row r="5168" spans="1:6" x14ac:dyDescent="0.25">
      <c r="A5168" t="s">
        <v>6</v>
      </c>
      <c r="B5168" s="5" t="str">
        <f>HYPERLINK("http://www.broadinstitute.org/gsea/msigdb/cards/GOBP_NEGATIVE_REGULATION_OF_CILIUM_ASSEMBLY.html","GOBP_NEGATIVE_REGULATION_OF_CILIUM_ASSEMBLY")</f>
        <v>GOBP_NEGATIVE_REGULATION_OF_CILIUM_ASSEMBLY</v>
      </c>
      <c r="C5168" s="4">
        <v>20</v>
      </c>
      <c r="D5168" s="3">
        <v>-0.97334290000000001</v>
      </c>
      <c r="E5168" s="1">
        <v>0.50456619999999996</v>
      </c>
      <c r="F5168" s="2">
        <v>0.73440886000000005</v>
      </c>
    </row>
    <row r="5169" spans="1:6" x14ac:dyDescent="0.25">
      <c r="A5169" t="s">
        <v>6</v>
      </c>
      <c r="B5169" s="5" t="str">
        <f>HYPERLINK("http://www.broadinstitute.org/gsea/msigdb/cards/GOBP_RESPIRATORY_SYSTEM_PROCESS.html","GOBP_RESPIRATORY_SYSTEM_PROCESS")</f>
        <v>GOBP_RESPIRATORY_SYSTEM_PROCESS</v>
      </c>
      <c r="C5169" s="4">
        <v>49</v>
      </c>
      <c r="D5169" s="3">
        <v>-0.97342229999999996</v>
      </c>
      <c r="E5169" s="1">
        <v>0.49061662</v>
      </c>
      <c r="F5169" s="2">
        <v>0.73467404000000003</v>
      </c>
    </row>
    <row r="5170" spans="1:6" x14ac:dyDescent="0.25">
      <c r="A5170" t="s">
        <v>6</v>
      </c>
      <c r="B5170" s="5" t="str">
        <f>HYPERLINK("http://www.broadinstitute.org/gsea/msigdb/cards/GOBP_NEGATIVE_REGULATION_OF_DENDRITIC_SPINE_DEVELOPMENT.html","GOBP_NEGATIVE_REGULATION_OF_DENDRITIC_SPINE_DEVELOPMENT")</f>
        <v>GOBP_NEGATIVE_REGULATION_OF_DENDRITIC_SPINE_DEVELOPMENT</v>
      </c>
      <c r="C5170" s="4">
        <v>17</v>
      </c>
      <c r="D5170" s="3">
        <v>-0.97354019999999997</v>
      </c>
      <c r="E5170" s="1">
        <v>0.48820754999999999</v>
      </c>
      <c r="F5170" s="2">
        <v>0.73483039999999999</v>
      </c>
    </row>
    <row r="5171" spans="1:6" x14ac:dyDescent="0.25">
      <c r="A5171" t="s">
        <v>6</v>
      </c>
      <c r="B5171" s="5" t="str">
        <f>HYPERLINK("http://www.broadinstitute.org/gsea/msigdb/cards/GOBP_CALCIUM_ION_TRANSMEMBRANE_TRANSPORT_VIA_HIGH_VOLTAGE_GATED_CALCIUM_CHANNEL.html","GOBP_CALCIUM_ION_TRANSMEMBRANE_TRANSPORT_VIA_HIGH_VOLTAGE_GATED_CALCIUM_CHANNEL")</f>
        <v>GOBP_CALCIUM_ION_TRANSMEMBRANE_TRANSPORT_VIA_HIGH_VOLTAGE_GATED_CALCIUM_CHANNEL</v>
      </c>
      <c r="C5171" s="4">
        <v>17</v>
      </c>
      <c r="D5171" s="3">
        <v>-0.97370120000000004</v>
      </c>
      <c r="E5171" s="1">
        <v>0.47146399999999999</v>
      </c>
      <c r="F5171" s="2">
        <v>0.73484194000000003</v>
      </c>
    </row>
    <row r="5172" spans="1:6" x14ac:dyDescent="0.25">
      <c r="A5172" t="s">
        <v>8</v>
      </c>
      <c r="B5172" s="5" t="str">
        <f>HYPERLINK("http://www.broadinstitute.org/gsea/msigdb/cards/GOMF_RIBOSOMAL_LARGE_SUBUNIT_BINDING.html","GOMF_RIBOSOMAL_LARGE_SUBUNIT_BINDING")</f>
        <v>GOMF_RIBOSOMAL_LARGE_SUBUNIT_BINDING</v>
      </c>
      <c r="C5172" s="4">
        <v>15</v>
      </c>
      <c r="D5172" s="3">
        <v>-0.97390790000000005</v>
      </c>
      <c r="E5172" s="1">
        <v>0.49278845999999998</v>
      </c>
      <c r="F5172" s="2">
        <v>0.73472725999999999</v>
      </c>
    </row>
    <row r="5173" spans="1:6" x14ac:dyDescent="0.25">
      <c r="A5173" t="s">
        <v>6</v>
      </c>
      <c r="B5173" s="5" t="str">
        <f>HYPERLINK("http://www.broadinstitute.org/gsea/msigdb/cards/GOBP_SODIUM_ION_TRANSMEMBRANE_TRANSPORT.html","GOBP_SODIUM_ION_TRANSMEMBRANE_TRANSPORT")</f>
        <v>GOBP_SODIUM_ION_TRANSMEMBRANE_TRANSPORT</v>
      </c>
      <c r="C5173" s="4">
        <v>164</v>
      </c>
      <c r="D5173" s="3">
        <v>-0.97435430000000001</v>
      </c>
      <c r="E5173" s="1">
        <v>0.51957299999999995</v>
      </c>
      <c r="F5173" s="2">
        <v>0.73386499999999999</v>
      </c>
    </row>
    <row r="5174" spans="1:6" x14ac:dyDescent="0.25">
      <c r="A5174" t="s">
        <v>6</v>
      </c>
      <c r="B5174" s="5" t="str">
        <f>HYPERLINK("http://www.broadinstitute.org/gsea/msigdb/cards/GOBP_DENDRITIC_SPINE_DEVELOPMENT.html","GOBP_DENDRITIC_SPINE_DEVELOPMENT")</f>
        <v>GOBP_DENDRITIC_SPINE_DEVELOPMENT</v>
      </c>
      <c r="C5174" s="4">
        <v>134</v>
      </c>
      <c r="D5174" s="3">
        <v>-0.97450954000000001</v>
      </c>
      <c r="E5174" s="1">
        <v>0.53666670000000005</v>
      </c>
      <c r="F5174" s="2">
        <v>0.73393260000000005</v>
      </c>
    </row>
    <row r="5175" spans="1:6" x14ac:dyDescent="0.25">
      <c r="A5175" t="s">
        <v>11</v>
      </c>
      <c r="B5175" s="5" t="str">
        <f>HYPERLINK("http://www.broadinstitute.org/gsea/msigdb/cards/WP_GLYCEROLIPIDS_AND_GLYCEROPHOSPHOLIPIDS_WP4345.html","WP_GLYCEROLIPIDS_AND_GLYCEROPHOSPHOLIPIDS_WP4345")</f>
        <v>WP_GLYCEROLIPIDS_AND_GLYCEROPHOSPHOLIPIDS_WP4345</v>
      </c>
      <c r="C5175" s="4">
        <v>22</v>
      </c>
      <c r="D5175" s="3">
        <v>-0.97469324000000002</v>
      </c>
      <c r="E5175" s="1">
        <v>0.50961535999999996</v>
      </c>
      <c r="F5175" s="2">
        <v>0.73388949999999997</v>
      </c>
    </row>
    <row r="5176" spans="1:6" x14ac:dyDescent="0.25">
      <c r="A5176" t="s">
        <v>6</v>
      </c>
      <c r="B5176" s="5" t="str">
        <f>HYPERLINK("http://www.broadinstitute.org/gsea/msigdb/cards/GOBP_MITOCHONDRION_LOCALIZATION.html","GOBP_MITOCHONDRION_LOCALIZATION")</f>
        <v>GOBP_MITOCHONDRION_LOCALIZATION</v>
      </c>
      <c r="C5176" s="4">
        <v>57</v>
      </c>
      <c r="D5176" s="3">
        <v>-0.97554700000000005</v>
      </c>
      <c r="E5176" s="1">
        <v>0.50526314999999999</v>
      </c>
      <c r="F5176" s="2">
        <v>0.73182820000000004</v>
      </c>
    </row>
    <row r="5177" spans="1:6" x14ac:dyDescent="0.25">
      <c r="A5177" t="s">
        <v>6</v>
      </c>
      <c r="B5177" s="5" t="str">
        <f>HYPERLINK("http://www.broadinstitute.org/gsea/msigdb/cards/GOBP_HEPARAN_SULFATE_PROTEOGLYCAN_BIOSYNTHETIC_PROCESS.html","GOBP_HEPARAN_SULFATE_PROTEOGLYCAN_BIOSYNTHETIC_PROCESS")</f>
        <v>GOBP_HEPARAN_SULFATE_PROTEOGLYCAN_BIOSYNTHETIC_PROCESS</v>
      </c>
      <c r="C5177" s="4">
        <v>31</v>
      </c>
      <c r="D5177" s="3">
        <v>-0.97606250000000006</v>
      </c>
      <c r="E5177" s="1">
        <v>0.51133499999999998</v>
      </c>
      <c r="F5177" s="2">
        <v>0.73077685000000003</v>
      </c>
    </row>
    <row r="5178" spans="1:6" x14ac:dyDescent="0.25">
      <c r="A5178" t="s">
        <v>10</v>
      </c>
      <c r="B5178" s="5" t="str">
        <f>HYPERLINK("http://www.broadinstitute.org/gsea/msigdb/cards/REACTOME_PHASE_4_RESTING_MEMBRANE_POTENTIAL.html","REACTOME_PHASE_4_RESTING_MEMBRANE_POTENTIAL")</f>
        <v>REACTOME_PHASE_4_RESTING_MEMBRANE_POTENTIAL</v>
      </c>
      <c r="C5178" s="4">
        <v>17</v>
      </c>
      <c r="D5178" s="3">
        <v>-0.97765356000000003</v>
      </c>
      <c r="E5178" s="1">
        <v>0.48866498000000003</v>
      </c>
      <c r="F5178" s="2">
        <v>0.72649810000000004</v>
      </c>
    </row>
    <row r="5179" spans="1:6" x14ac:dyDescent="0.25">
      <c r="A5179" t="s">
        <v>7</v>
      </c>
      <c r="B5179" s="5" t="str">
        <f>HYPERLINK("http://www.broadinstitute.org/gsea/msigdb/cards/GOCC_CUL4_RING_E3_UBIQUITIN_LIGASE_COMPLEX.html","GOCC_CUL4_RING_E3_UBIQUITIN_LIGASE_COMPLEX")</f>
        <v>GOCC_CUL4_RING_E3_UBIQUITIN_LIGASE_COMPLEX</v>
      </c>
      <c r="C5179" s="4">
        <v>32</v>
      </c>
      <c r="D5179" s="3">
        <v>-0.97859320000000005</v>
      </c>
      <c r="E5179" s="1">
        <v>0.48774509999999999</v>
      </c>
      <c r="F5179" s="2">
        <v>0.72420793999999999</v>
      </c>
    </row>
    <row r="5180" spans="1:6" x14ac:dyDescent="0.25">
      <c r="A5180" t="s">
        <v>6</v>
      </c>
      <c r="B5180" s="5" t="str">
        <f>HYPERLINK("http://www.broadinstitute.org/gsea/msigdb/cards/GOBP_NEGATIVE_REGULATION_OF_CARBOHYDRATE_METABOLIC_PROCESS.html","GOBP_NEGATIVE_REGULATION_OF_CARBOHYDRATE_METABOLIC_PROCESS")</f>
        <v>GOBP_NEGATIVE_REGULATION_OF_CARBOHYDRATE_METABOLIC_PROCESS</v>
      </c>
      <c r="C5180" s="4">
        <v>60</v>
      </c>
      <c r="D5180" s="3">
        <v>-0.97905600000000004</v>
      </c>
      <c r="E5180" s="1">
        <v>0.48258707000000001</v>
      </c>
      <c r="F5180" s="2">
        <v>0.72332669999999999</v>
      </c>
    </row>
    <row r="5181" spans="1:6" x14ac:dyDescent="0.25">
      <c r="A5181" t="s">
        <v>6</v>
      </c>
      <c r="B5181" s="5" t="str">
        <f>HYPERLINK("http://www.broadinstitute.org/gsea/msigdb/cards/GOBP_DNA_TEMPLATED_TRANSCRIPTION_INITIATION.html","GOBP_DNA_TEMPLATED_TRANSCRIPTION_INITIATION")</f>
        <v>GOBP_DNA_TEMPLATED_TRANSCRIPTION_INITIATION</v>
      </c>
      <c r="C5181" s="4">
        <v>129</v>
      </c>
      <c r="D5181" s="3">
        <v>-0.97923285000000004</v>
      </c>
      <c r="E5181" s="1">
        <v>0.53697746999999996</v>
      </c>
      <c r="F5181" s="2">
        <v>0.72330815000000004</v>
      </c>
    </row>
    <row r="5182" spans="1:6" x14ac:dyDescent="0.25">
      <c r="A5182" t="s">
        <v>6</v>
      </c>
      <c r="B5182" s="5" t="str">
        <f>HYPERLINK("http://www.broadinstitute.org/gsea/msigdb/cards/GOBP_PROTEIN_TARGETING.html","GOBP_PROTEIN_TARGETING")</f>
        <v>GOBP_PROTEIN_TARGETING</v>
      </c>
      <c r="C5182" s="4">
        <v>289</v>
      </c>
      <c r="D5182" s="3">
        <v>-0.97955389999999998</v>
      </c>
      <c r="E5182" s="1">
        <v>0.51260510000000004</v>
      </c>
      <c r="F5182" s="2">
        <v>0.72282979999999997</v>
      </c>
    </row>
    <row r="5183" spans="1:6" x14ac:dyDescent="0.25">
      <c r="A5183" t="s">
        <v>6</v>
      </c>
      <c r="B5183" s="5" t="str">
        <f>HYPERLINK("http://www.broadinstitute.org/gsea/msigdb/cards/GOBP_BIOLOGICAL_PROCESS_INVOLVED_IN_INTRASPECIES_INTERACTION_BETWEEN_ORGANISMS.html","GOBP_BIOLOGICAL_PROCESS_INVOLVED_IN_INTRASPECIES_INTERACTION_BETWEEN_ORGANISMS")</f>
        <v>GOBP_BIOLOGICAL_PROCESS_INVOLVED_IN_INTRASPECIES_INTERACTION_BETWEEN_ORGANISMS</v>
      </c>
      <c r="C5183" s="4">
        <v>63</v>
      </c>
      <c r="D5183" s="3">
        <v>-0.97986704000000002</v>
      </c>
      <c r="E5183" s="1">
        <v>0.49584486999999999</v>
      </c>
      <c r="F5183" s="2">
        <v>0.72238959999999997</v>
      </c>
    </row>
    <row r="5184" spans="1:6" x14ac:dyDescent="0.25">
      <c r="A5184" t="s">
        <v>7</v>
      </c>
      <c r="B5184" s="5" t="str">
        <f>HYPERLINK("http://www.broadinstitute.org/gsea/msigdb/cards/GOCC_CONDENSED_NUCLEAR_CHROMOSOME.html","GOCC_CONDENSED_NUCLEAR_CHROMOSOME")</f>
        <v>GOCC_CONDENSED_NUCLEAR_CHROMOSOME</v>
      </c>
      <c r="C5184" s="4">
        <v>90</v>
      </c>
      <c r="D5184" s="3">
        <v>-0.98043144000000004</v>
      </c>
      <c r="E5184" s="1">
        <v>0.50322579999999995</v>
      </c>
      <c r="F5184" s="2">
        <v>0.7211805</v>
      </c>
    </row>
    <row r="5185" spans="1:6" x14ac:dyDescent="0.25">
      <c r="A5185" t="s">
        <v>8</v>
      </c>
      <c r="B5185" s="5" t="str">
        <f>HYPERLINK("http://www.broadinstitute.org/gsea/msigdb/cards/GOMF_VOLTAGE_GATED_SODIUM_CHANNEL_ACTIVITY.html","GOMF_VOLTAGE_GATED_SODIUM_CHANNEL_ACTIVITY")</f>
        <v>GOMF_VOLTAGE_GATED_SODIUM_CHANNEL_ACTIVITY</v>
      </c>
      <c r="C5185" s="4">
        <v>25</v>
      </c>
      <c r="D5185" s="3">
        <v>-0.98080409999999996</v>
      </c>
      <c r="E5185" s="1">
        <v>0.49302325000000002</v>
      </c>
      <c r="F5185" s="2">
        <v>0.72051525000000005</v>
      </c>
    </row>
    <row r="5186" spans="1:6" x14ac:dyDescent="0.25">
      <c r="A5186" t="s">
        <v>6</v>
      </c>
      <c r="B5186" s="5" t="str">
        <f>HYPERLINK("http://www.broadinstitute.org/gsea/msigdb/cards/GOBP_ESTABLISHMENT_OR_MAINTENANCE_OF_BIPOLAR_CELL_POLARITY.html","GOBP_ESTABLISHMENT_OR_MAINTENANCE_OF_BIPOLAR_CELL_POLARITY")</f>
        <v>GOBP_ESTABLISHMENT_OR_MAINTENANCE_OF_BIPOLAR_CELL_POLARITY</v>
      </c>
      <c r="C5186" s="4">
        <v>54</v>
      </c>
      <c r="D5186" s="3">
        <v>-0.98082124999999998</v>
      </c>
      <c r="E5186" s="1">
        <v>0.48837209999999998</v>
      </c>
      <c r="F5186" s="2">
        <v>0.72096305999999999</v>
      </c>
    </row>
    <row r="5187" spans="1:6" x14ac:dyDescent="0.25">
      <c r="A5187" t="s">
        <v>8</v>
      </c>
      <c r="B5187" s="5" t="str">
        <f>HYPERLINK("http://www.broadinstitute.org/gsea/msigdb/cards/GOMF_POLY_A_BINDING.html","GOMF_POLY_A_BINDING")</f>
        <v>GOMF_POLY_A_BINDING</v>
      </c>
      <c r="C5187" s="4">
        <v>28</v>
      </c>
      <c r="D5187" s="3">
        <v>-0.98095100000000002</v>
      </c>
      <c r="E5187" s="1">
        <v>0.46214097999999998</v>
      </c>
      <c r="F5187" s="2">
        <v>0.72105660000000005</v>
      </c>
    </row>
    <row r="5188" spans="1:6" x14ac:dyDescent="0.25">
      <c r="A5188" t="s">
        <v>6</v>
      </c>
      <c r="B5188" s="5" t="str">
        <f>HYPERLINK("http://www.broadinstitute.org/gsea/msigdb/cards/GOBP_MOTILE_CILIUM_ASSEMBLY.html","GOBP_MOTILE_CILIUM_ASSEMBLY")</f>
        <v>GOBP_MOTILE_CILIUM_ASSEMBLY</v>
      </c>
      <c r="C5188" s="4">
        <v>71</v>
      </c>
      <c r="D5188" s="3">
        <v>-0.98098034000000001</v>
      </c>
      <c r="E5188" s="1">
        <v>0.5263158</v>
      </c>
      <c r="F5188" s="2">
        <v>0.72147053000000005</v>
      </c>
    </row>
    <row r="5189" spans="1:6" x14ac:dyDescent="0.25">
      <c r="A5189" t="s">
        <v>6</v>
      </c>
      <c r="B5189" s="5" t="str">
        <f>HYPERLINK("http://www.broadinstitute.org/gsea/msigdb/cards/GOBP_SYNAPTIC_TRANSMISSION_GABAERGIC.html","GOBP_SYNAPTIC_TRANSMISSION_GABAERGIC")</f>
        <v>GOBP_SYNAPTIC_TRANSMISSION_GABAERGIC</v>
      </c>
      <c r="C5189" s="4">
        <v>70</v>
      </c>
      <c r="D5189" s="3">
        <v>-0.98100673999999999</v>
      </c>
      <c r="E5189" s="1">
        <v>0.48137537000000002</v>
      </c>
      <c r="F5189" s="2">
        <v>0.7218869</v>
      </c>
    </row>
    <row r="5190" spans="1:6" x14ac:dyDescent="0.25">
      <c r="A5190" t="s">
        <v>7</v>
      </c>
      <c r="B5190" s="5" t="str">
        <f>HYPERLINK("http://www.broadinstitute.org/gsea/msigdb/cards/GOCC_MITOTIC_SPINDLE_MIDZONE.html","GOCC_MITOTIC_SPINDLE_MIDZONE")</f>
        <v>GOCC_MITOTIC_SPINDLE_MIDZONE</v>
      </c>
      <c r="C5190" s="4">
        <v>15</v>
      </c>
      <c r="D5190" s="3">
        <v>-0.98108019999999996</v>
      </c>
      <c r="E5190" s="1">
        <v>0.48477157999999998</v>
      </c>
      <c r="F5190" s="2">
        <v>0.72213994999999997</v>
      </c>
    </row>
    <row r="5191" spans="1:6" x14ac:dyDescent="0.25">
      <c r="A5191" t="s">
        <v>6</v>
      </c>
      <c r="B5191" s="5" t="str">
        <f>HYPERLINK("http://www.broadinstitute.org/gsea/msigdb/cards/GOBP_TISSUE_REGENERATION.html","GOBP_TISSUE_REGENERATION")</f>
        <v>GOBP_TISSUE_REGENERATION</v>
      </c>
      <c r="C5191" s="4">
        <v>70</v>
      </c>
      <c r="D5191" s="3">
        <v>-0.98131239999999997</v>
      </c>
      <c r="E5191" s="1">
        <v>0.49041095000000001</v>
      </c>
      <c r="F5191" s="2">
        <v>0.72192009999999995</v>
      </c>
    </row>
    <row r="5192" spans="1:6" x14ac:dyDescent="0.25">
      <c r="A5192" t="s">
        <v>6</v>
      </c>
      <c r="B5192" s="5" t="str">
        <f>HYPERLINK("http://www.broadinstitute.org/gsea/msigdb/cards/GOBP_LUNG_ALVEOLUS_DEVELOPMENT.html","GOBP_LUNG_ALVEOLUS_DEVELOPMENT")</f>
        <v>GOBP_LUNG_ALVEOLUS_DEVELOPMENT</v>
      </c>
      <c r="C5192" s="4">
        <v>66</v>
      </c>
      <c r="D5192" s="3">
        <v>-0.98136674999999995</v>
      </c>
      <c r="E5192" s="1">
        <v>0.52341599999999999</v>
      </c>
      <c r="F5192" s="2">
        <v>0.72225152999999997</v>
      </c>
    </row>
    <row r="5193" spans="1:6" x14ac:dyDescent="0.25">
      <c r="A5193" t="s">
        <v>6</v>
      </c>
      <c r="B5193" s="5" t="str">
        <f>HYPERLINK("http://www.broadinstitute.org/gsea/msigdb/cards/GOBP_REGULATION_OF_MICROTUBULE_BASED_PROCESS.html","GOBP_REGULATION_OF_MICROTUBULE_BASED_PROCESS")</f>
        <v>GOBP_REGULATION_OF_MICROTUBULE_BASED_PROCESS</v>
      </c>
      <c r="C5193" s="4">
        <v>260</v>
      </c>
      <c r="D5193" s="3">
        <v>-0.98147660000000003</v>
      </c>
      <c r="E5193" s="1">
        <v>0.51254480000000002</v>
      </c>
      <c r="F5193" s="2">
        <v>0.72242240000000002</v>
      </c>
    </row>
    <row r="5194" spans="1:6" x14ac:dyDescent="0.25">
      <c r="A5194" t="s">
        <v>6</v>
      </c>
      <c r="B5194" s="5" t="str">
        <f>HYPERLINK("http://www.broadinstitute.org/gsea/msigdb/cards/GOBP_REGULATION_OF_MICROTUBULE_CYTOSKELETON_ORGANIZATION.html","GOBP_REGULATION_OF_MICROTUBULE_CYTOSKELETON_ORGANIZATION")</f>
        <v>GOBP_REGULATION_OF_MICROTUBULE_CYTOSKELETON_ORGANIZATION</v>
      </c>
      <c r="C5194" s="4">
        <v>159</v>
      </c>
      <c r="D5194" s="3">
        <v>-0.98148983999999995</v>
      </c>
      <c r="E5194" s="1">
        <v>0.50649350000000004</v>
      </c>
      <c r="F5194" s="2">
        <v>0.72288180000000002</v>
      </c>
    </row>
    <row r="5195" spans="1:6" x14ac:dyDescent="0.25">
      <c r="A5195" t="s">
        <v>8</v>
      </c>
      <c r="B5195" s="5" t="str">
        <f>HYPERLINK("http://www.broadinstitute.org/gsea/msigdb/cards/GOMF_HORMONE_BINDING.html","GOMF_HORMONE_BINDING")</f>
        <v>GOMF_HORMONE_BINDING</v>
      </c>
      <c r="C5195" s="4">
        <v>85</v>
      </c>
      <c r="D5195" s="3">
        <v>-0.98171973000000001</v>
      </c>
      <c r="E5195" s="1">
        <v>0.49438201999999998</v>
      </c>
      <c r="F5195" s="2">
        <v>0.72270334000000003</v>
      </c>
    </row>
    <row r="5196" spans="1:6" x14ac:dyDescent="0.25">
      <c r="A5196" t="s">
        <v>6</v>
      </c>
      <c r="B5196" s="5" t="str">
        <f>HYPERLINK("http://www.broadinstitute.org/gsea/msigdb/cards/GOBP_CARDIAC_VENTRICLE_DEVELOPMENT.html","GOBP_CARDIAC_VENTRICLE_DEVELOPMENT")</f>
        <v>GOBP_CARDIAC_VENTRICLE_DEVELOPMENT</v>
      </c>
      <c r="C5196" s="4">
        <v>140</v>
      </c>
      <c r="D5196" s="3">
        <v>-0.98206349999999998</v>
      </c>
      <c r="E5196" s="1">
        <v>0.47787610000000003</v>
      </c>
      <c r="F5196" s="2">
        <v>0.72215456</v>
      </c>
    </row>
    <row r="5197" spans="1:6" x14ac:dyDescent="0.25">
      <c r="A5197" t="s">
        <v>10</v>
      </c>
      <c r="B5197" s="5" t="str">
        <f>HYPERLINK("http://www.broadinstitute.org/gsea/msigdb/cards/REACTOME_SUMOYLATION_OF_CHROMATIN_ORGANIZATION_PROTEINS.html","REACTOME_SUMOYLATION_OF_CHROMATIN_ORGANIZATION_PROTEINS")</f>
        <v>REACTOME_SUMOYLATION_OF_CHROMATIN_ORGANIZATION_PROTEINS</v>
      </c>
      <c r="C5197" s="4">
        <v>65</v>
      </c>
      <c r="D5197" s="3">
        <v>-0.98207617000000003</v>
      </c>
      <c r="E5197" s="1">
        <v>0.47314578000000002</v>
      </c>
      <c r="F5197" s="2">
        <v>0.72262689999999996</v>
      </c>
    </row>
    <row r="5198" spans="1:6" x14ac:dyDescent="0.25">
      <c r="A5198" t="s">
        <v>8</v>
      </c>
      <c r="B5198" s="5" t="str">
        <f>HYPERLINK("http://www.broadinstitute.org/gsea/msigdb/cards/GOMF_CATALYTIC_ACTIVITY_ACTING_ON_A_TRNA.html","GOMF_CATALYTIC_ACTIVITY_ACTING_ON_A_TRNA")</f>
        <v>GOMF_CATALYTIC_ACTIVITY_ACTING_ON_A_TRNA</v>
      </c>
      <c r="C5198" s="4">
        <v>128</v>
      </c>
      <c r="D5198" s="3">
        <v>-0.98216844000000003</v>
      </c>
      <c r="E5198" s="1">
        <v>0.4845679</v>
      </c>
      <c r="F5198" s="2">
        <v>0.72286649999999997</v>
      </c>
    </row>
    <row r="5199" spans="1:6" x14ac:dyDescent="0.25">
      <c r="A5199" t="s">
        <v>6</v>
      </c>
      <c r="B5199" s="5" t="str">
        <f>HYPERLINK("http://www.broadinstitute.org/gsea/msigdb/cards/GOBP_MEIOTIC_CELL_CYCLE.html","GOBP_MEIOTIC_CELL_CYCLE")</f>
        <v>GOBP_MEIOTIC_CELL_CYCLE</v>
      </c>
      <c r="C5199" s="4">
        <v>294</v>
      </c>
      <c r="D5199" s="3">
        <v>-0.98241239999999996</v>
      </c>
      <c r="E5199" s="1">
        <v>0.50775194000000001</v>
      </c>
      <c r="F5199" s="2">
        <v>0.72264092999999996</v>
      </c>
    </row>
    <row r="5200" spans="1:6" x14ac:dyDescent="0.25">
      <c r="A5200" t="s">
        <v>6</v>
      </c>
      <c r="B5200" s="5" t="str">
        <f>HYPERLINK("http://www.broadinstitute.org/gsea/msigdb/cards/GOBP_NEGATIVE_REGULATION_OF_DEPHOSPHORYLATION.html","GOBP_NEGATIVE_REGULATION_OF_DEPHOSPHORYLATION")</f>
        <v>GOBP_NEGATIVE_REGULATION_OF_DEPHOSPHORYLATION</v>
      </c>
      <c r="C5200" s="4">
        <v>45</v>
      </c>
      <c r="D5200" s="3">
        <v>-0.98258113999999996</v>
      </c>
      <c r="E5200" s="1">
        <v>0.49234694000000001</v>
      </c>
      <c r="F5200" s="2">
        <v>0.72263650000000001</v>
      </c>
    </row>
    <row r="5201" spans="1:6" x14ac:dyDescent="0.25">
      <c r="A5201" t="s">
        <v>6</v>
      </c>
      <c r="B5201" s="5" t="str">
        <f>HYPERLINK("http://www.broadinstitute.org/gsea/msigdb/cards/GOBP_ADULT_LOCOMOTORY_BEHAVIOR.html","GOBP_ADULT_LOCOMOTORY_BEHAVIOR")</f>
        <v>GOBP_ADULT_LOCOMOTORY_BEHAVIOR</v>
      </c>
      <c r="C5201" s="4">
        <v>108</v>
      </c>
      <c r="D5201" s="3">
        <v>-0.98280469999999998</v>
      </c>
      <c r="E5201" s="1">
        <v>0.49726775000000001</v>
      </c>
      <c r="F5201" s="2">
        <v>0.72247479999999997</v>
      </c>
    </row>
    <row r="5202" spans="1:6" x14ac:dyDescent="0.25">
      <c r="A5202" t="s">
        <v>6</v>
      </c>
      <c r="B5202" s="5" t="str">
        <f>HYPERLINK("http://www.broadinstitute.org/gsea/msigdb/cards/GOBP_PROTEIN_REFOLDING.html","GOBP_PROTEIN_REFOLDING")</f>
        <v>GOBP_PROTEIN_REFOLDING</v>
      </c>
      <c r="C5202" s="4">
        <v>24</v>
      </c>
      <c r="D5202" s="3">
        <v>-0.98294369999999998</v>
      </c>
      <c r="E5202" s="1">
        <v>0.46500000000000002</v>
      </c>
      <c r="F5202" s="2">
        <v>0.7225627</v>
      </c>
    </row>
    <row r="5203" spans="1:6" x14ac:dyDescent="0.25">
      <c r="A5203" t="s">
        <v>6</v>
      </c>
      <c r="B5203" s="5" t="str">
        <f>HYPERLINK("http://www.broadinstitute.org/gsea/msigdb/cards/GOBP_RETINAL_GANGLION_CELL_AXON_GUIDANCE.html","GOBP_RETINAL_GANGLION_CELL_AXON_GUIDANCE")</f>
        <v>GOBP_RETINAL_GANGLION_CELL_AXON_GUIDANCE</v>
      </c>
      <c r="C5203" s="4">
        <v>22</v>
      </c>
      <c r="D5203" s="3">
        <v>-0.98323280000000002</v>
      </c>
      <c r="E5203" s="1">
        <v>0.4783599</v>
      </c>
      <c r="F5203" s="2">
        <v>0.72218910000000003</v>
      </c>
    </row>
    <row r="5204" spans="1:6" x14ac:dyDescent="0.25">
      <c r="A5204" t="s">
        <v>6</v>
      </c>
      <c r="B5204" s="5" t="str">
        <f>HYPERLINK("http://www.broadinstitute.org/gsea/msigdb/cards/GOBP_MICROTUBULE_BASED_TRANSPORT.html","GOBP_MICROTUBULE_BASED_TRANSPORT")</f>
        <v>GOBP_MICROTUBULE_BASED_TRANSPORT</v>
      </c>
      <c r="C5204" s="4">
        <v>221</v>
      </c>
      <c r="D5204" s="3">
        <v>-0.98425370000000001</v>
      </c>
      <c r="E5204" s="1">
        <v>0.47349823000000002</v>
      </c>
      <c r="F5204" s="2">
        <v>0.71956562999999996</v>
      </c>
    </row>
    <row r="5205" spans="1:6" x14ac:dyDescent="0.25">
      <c r="A5205" t="s">
        <v>6</v>
      </c>
      <c r="B5205" s="5" t="str">
        <f>HYPERLINK("http://www.broadinstitute.org/gsea/msigdb/cards/GOBP_CALCIUM_ION_REGULATED_EXOCYTOSIS_OF_NEUROTRANSMITTER.html","GOBP_CALCIUM_ION_REGULATED_EXOCYTOSIS_OF_NEUROTRANSMITTER")</f>
        <v>GOBP_CALCIUM_ION_REGULATED_EXOCYTOSIS_OF_NEUROTRANSMITTER</v>
      </c>
      <c r="C5205" s="4">
        <v>24</v>
      </c>
      <c r="D5205" s="3">
        <v>-0.98456259999999995</v>
      </c>
      <c r="E5205" s="1">
        <v>0.51133499999999998</v>
      </c>
      <c r="F5205" s="2">
        <v>0.71917045000000002</v>
      </c>
    </row>
    <row r="5206" spans="1:6" x14ac:dyDescent="0.25">
      <c r="A5206" t="s">
        <v>6</v>
      </c>
      <c r="B5206" s="5" t="str">
        <f>HYPERLINK("http://www.broadinstitute.org/gsea/msigdb/cards/GOBP_NEGATIVE_REGULATION_OF_UBIQUITIN_DEPENDENT_PROTEIN_CATABOLIC_PROCESS.html","GOBP_NEGATIVE_REGULATION_OF_UBIQUITIN_DEPENDENT_PROTEIN_CATABOLIC_PROCESS")</f>
        <v>GOBP_NEGATIVE_REGULATION_OF_UBIQUITIN_DEPENDENT_PROTEIN_CATABOLIC_PROCESS</v>
      </c>
      <c r="C5206" s="4">
        <v>53</v>
      </c>
      <c r="D5206" s="3">
        <v>-0.98504820000000004</v>
      </c>
      <c r="E5206" s="1">
        <v>0.46857142000000002</v>
      </c>
      <c r="F5206" s="2">
        <v>0.71818084000000004</v>
      </c>
    </row>
    <row r="5207" spans="1:6" x14ac:dyDescent="0.25">
      <c r="A5207" t="s">
        <v>6</v>
      </c>
      <c r="B5207" s="5" t="str">
        <f>HYPERLINK("http://www.broadinstitute.org/gsea/msigdb/cards/GOBP_NEGATIVE_REGULATION_OF_TRANSCRIPTION_REGULATORY_REGION_DNA_BINDING.html","GOBP_NEGATIVE_REGULATION_OF_TRANSCRIPTION_REGULATORY_REGION_DNA_BINDING")</f>
        <v>GOBP_NEGATIVE_REGULATION_OF_TRANSCRIPTION_REGULATORY_REGION_DNA_BINDING</v>
      </c>
      <c r="C5207" s="4">
        <v>17</v>
      </c>
      <c r="D5207" s="3">
        <v>-0.98598253999999996</v>
      </c>
      <c r="E5207" s="1">
        <v>0.44843048000000002</v>
      </c>
      <c r="F5207" s="2">
        <v>0.71576667000000005</v>
      </c>
    </row>
    <row r="5208" spans="1:6" x14ac:dyDescent="0.25">
      <c r="A5208" t="s">
        <v>8</v>
      </c>
      <c r="B5208" s="5" t="str">
        <f>HYPERLINK("http://www.broadinstitute.org/gsea/msigdb/cards/GOMF_NEUROPEPTIDE_RECEPTOR_BINDING.html","GOMF_NEUROPEPTIDE_RECEPTOR_BINDING")</f>
        <v>GOMF_NEUROPEPTIDE_RECEPTOR_BINDING</v>
      </c>
      <c r="C5208" s="4">
        <v>31</v>
      </c>
      <c r="D5208" s="3">
        <v>-0.9866277</v>
      </c>
      <c r="E5208" s="1">
        <v>0.44444444999999999</v>
      </c>
      <c r="F5208" s="2">
        <v>0.71431255000000005</v>
      </c>
    </row>
    <row r="5209" spans="1:6" x14ac:dyDescent="0.25">
      <c r="A5209" t="s">
        <v>10</v>
      </c>
      <c r="B5209" s="5" t="str">
        <f>HYPERLINK("http://www.broadinstitute.org/gsea/msigdb/cards/REACTOME_MITOTIC_METAPHASE_AND_ANAPHASE.html","REACTOME_MITOTIC_METAPHASE_AND_ANAPHASE")</f>
        <v>REACTOME_MITOTIC_METAPHASE_AND_ANAPHASE</v>
      </c>
      <c r="C5209" s="4">
        <v>222</v>
      </c>
      <c r="D5209" s="3">
        <v>-0.98683785999999996</v>
      </c>
      <c r="E5209" s="1">
        <v>0.48754448</v>
      </c>
      <c r="F5209" s="2">
        <v>0.71417235999999995</v>
      </c>
    </row>
    <row r="5210" spans="1:6" x14ac:dyDescent="0.25">
      <c r="A5210" t="s">
        <v>10</v>
      </c>
      <c r="B5210" s="5" t="str">
        <f>HYPERLINK("http://www.broadinstitute.org/gsea/msigdb/cards/REACTOME_ENERGY_DEPENDENT_REGULATION_OF_MTOR_BY_LKB1_AMPK.html","REACTOME_ENERGY_DEPENDENT_REGULATION_OF_MTOR_BY_LKB1_AMPK")</f>
        <v>REACTOME_ENERGY_DEPENDENT_REGULATION_OF_MTOR_BY_LKB1_AMPK</v>
      </c>
      <c r="C5210" s="4">
        <v>29</v>
      </c>
      <c r="D5210" s="3">
        <v>-0.98713550000000005</v>
      </c>
      <c r="E5210" s="1">
        <v>0.47088607999999998</v>
      </c>
      <c r="F5210" s="2">
        <v>0.71377736000000003</v>
      </c>
    </row>
    <row r="5211" spans="1:6" x14ac:dyDescent="0.25">
      <c r="A5211" t="s">
        <v>10</v>
      </c>
      <c r="B5211" s="5" t="str">
        <f>HYPERLINK("http://www.broadinstitute.org/gsea/msigdb/cards/REACTOME_BRANCHED_CHAIN_AMINO_ACID_CATABOLISM.html","REACTOME_BRANCHED_CHAIN_AMINO_ACID_CATABOLISM")</f>
        <v>REACTOME_BRANCHED_CHAIN_AMINO_ACID_CATABOLISM</v>
      </c>
      <c r="C5211" s="4">
        <v>20</v>
      </c>
      <c r="D5211" s="3">
        <v>-0.98745203000000004</v>
      </c>
      <c r="E5211" s="1">
        <v>0.43141592000000001</v>
      </c>
      <c r="F5211" s="2">
        <v>0.71332746999999996</v>
      </c>
    </row>
    <row r="5212" spans="1:6" x14ac:dyDescent="0.25">
      <c r="A5212" t="s">
        <v>6</v>
      </c>
      <c r="B5212" s="5" t="str">
        <f>HYPERLINK("http://www.broadinstitute.org/gsea/msigdb/cards/GOBP_REGULATION_OF_UBIQUITIN_DEPENDENT_PROTEIN_CATABOLIC_PROCESS.html","GOBP_REGULATION_OF_UBIQUITIN_DEPENDENT_PROTEIN_CATABOLIC_PROCESS")</f>
        <v>GOBP_REGULATION_OF_UBIQUITIN_DEPENDENT_PROTEIN_CATABOLIC_PROCESS</v>
      </c>
      <c r="C5212" s="4">
        <v>171</v>
      </c>
      <c r="D5212" s="3">
        <v>-0.98798050000000004</v>
      </c>
      <c r="E5212" s="1">
        <v>0.48639454999999998</v>
      </c>
      <c r="F5212" s="2">
        <v>0.71221774999999998</v>
      </c>
    </row>
    <row r="5213" spans="1:6" x14ac:dyDescent="0.25">
      <c r="A5213" t="s">
        <v>10</v>
      </c>
      <c r="B5213" s="5" t="str">
        <f>HYPERLINK("http://www.broadinstitute.org/gsea/msigdb/cards/REACTOME_REGULATION_OF_LIPID_METABOLISM_BY_PPARALPHA.html","REACTOME_REGULATION_OF_LIPID_METABOLISM_BY_PPARALPHA")</f>
        <v>REACTOME_REGULATION_OF_LIPID_METABOLISM_BY_PPARALPHA</v>
      </c>
      <c r="C5213" s="4">
        <v>17</v>
      </c>
      <c r="D5213" s="3">
        <v>-0.98853606000000005</v>
      </c>
      <c r="E5213" s="1">
        <v>0.47629797000000001</v>
      </c>
      <c r="F5213" s="2">
        <v>0.71096355</v>
      </c>
    </row>
    <row r="5214" spans="1:6" x14ac:dyDescent="0.25">
      <c r="A5214" t="s">
        <v>6</v>
      </c>
      <c r="B5214" s="5" t="str">
        <f>HYPERLINK("http://www.broadinstitute.org/gsea/msigdb/cards/GOBP_SYNAPTIC_VESICLE_TRANSPORT.html","GOBP_SYNAPTIC_VESICLE_TRANSPORT")</f>
        <v>GOBP_SYNAPTIC_VESICLE_TRANSPORT</v>
      </c>
      <c r="C5214" s="4">
        <v>46</v>
      </c>
      <c r="D5214" s="3">
        <v>-0.98939630000000001</v>
      </c>
      <c r="E5214" s="1">
        <v>0.46153845999999998</v>
      </c>
      <c r="F5214" s="2">
        <v>0.7089105</v>
      </c>
    </row>
    <row r="5215" spans="1:6" x14ac:dyDescent="0.25">
      <c r="A5215" t="s">
        <v>6</v>
      </c>
      <c r="B5215" s="5" t="str">
        <f>HYPERLINK("http://www.broadinstitute.org/gsea/msigdb/cards/GOBP_NEGATIVE_REGULATION_OF_DNA_REPAIR.html","GOBP_NEGATIVE_REGULATION_OF_DNA_REPAIR")</f>
        <v>GOBP_NEGATIVE_REGULATION_OF_DNA_REPAIR</v>
      </c>
      <c r="C5215" s="4">
        <v>34</v>
      </c>
      <c r="D5215" s="3">
        <v>-0.98947006000000004</v>
      </c>
      <c r="E5215" s="1">
        <v>0.45212766999999998</v>
      </c>
      <c r="F5215" s="2">
        <v>0.70919889999999997</v>
      </c>
    </row>
    <row r="5216" spans="1:6" x14ac:dyDescent="0.25">
      <c r="A5216" t="s">
        <v>6</v>
      </c>
      <c r="B5216" s="5" t="str">
        <f>HYPERLINK("http://www.broadinstitute.org/gsea/msigdb/cards/GOBP_BRANCHED_CHAIN_AMINO_ACID_CATABOLIC_PROCESS.html","GOBP_BRANCHED_CHAIN_AMINO_ACID_CATABOLIC_PROCESS")</f>
        <v>GOBP_BRANCHED_CHAIN_AMINO_ACID_CATABOLIC_PROCESS</v>
      </c>
      <c r="C5216" s="4">
        <v>20</v>
      </c>
      <c r="D5216" s="3">
        <v>-0.99010604999999996</v>
      </c>
      <c r="E5216" s="1">
        <v>0.44071588</v>
      </c>
      <c r="F5216" s="2">
        <v>0.70779413000000002</v>
      </c>
    </row>
    <row r="5217" spans="1:6" x14ac:dyDescent="0.25">
      <c r="A5217" t="s">
        <v>6</v>
      </c>
      <c r="B5217" s="5" t="str">
        <f>HYPERLINK("http://www.broadinstitute.org/gsea/msigdb/cards/GOBP_EPIDERMIS_DEVELOPMENT.html","GOBP_EPIDERMIS_DEVELOPMENT")</f>
        <v>GOBP_EPIDERMIS_DEVELOPMENT</v>
      </c>
      <c r="C5217" s="4">
        <v>384</v>
      </c>
      <c r="D5217" s="3">
        <v>-0.99105494999999999</v>
      </c>
      <c r="E5217" s="1">
        <v>0.51440330000000001</v>
      </c>
      <c r="F5217" s="2">
        <v>0.70546525999999998</v>
      </c>
    </row>
    <row r="5218" spans="1:6" x14ac:dyDescent="0.25">
      <c r="A5218" t="s">
        <v>6</v>
      </c>
      <c r="B5218" s="5" t="str">
        <f>HYPERLINK("http://www.broadinstitute.org/gsea/msigdb/cards/GOBP_PROXIMAL_DISTAL_PATTERN_FORMATION.html","GOBP_PROXIMAL_DISTAL_PATTERN_FORMATION")</f>
        <v>GOBP_PROXIMAL_DISTAL_PATTERN_FORMATION</v>
      </c>
      <c r="C5218" s="4">
        <v>37</v>
      </c>
      <c r="D5218" s="3">
        <v>-0.99168223</v>
      </c>
      <c r="E5218" s="1">
        <v>0.46666667000000001</v>
      </c>
      <c r="F5218" s="2">
        <v>0.70409049999999995</v>
      </c>
    </row>
    <row r="5219" spans="1:6" x14ac:dyDescent="0.25">
      <c r="A5219" t="s">
        <v>6</v>
      </c>
      <c r="B5219" s="5" t="str">
        <f>HYPERLINK("http://www.broadinstitute.org/gsea/msigdb/cards/GOBP_SYNAPSE_ASSEMBLY.html","GOBP_SYNAPSE_ASSEMBLY")</f>
        <v>GOBP_SYNAPSE_ASSEMBLY</v>
      </c>
      <c r="C5219" s="4">
        <v>219</v>
      </c>
      <c r="D5219" s="3">
        <v>-0.99188730000000003</v>
      </c>
      <c r="E5219" s="1">
        <v>0.46643108</v>
      </c>
      <c r="F5219" s="2">
        <v>0.70396550000000002</v>
      </c>
    </row>
    <row r="5220" spans="1:6" x14ac:dyDescent="0.25">
      <c r="A5220" t="s">
        <v>6</v>
      </c>
      <c r="B5220" s="5" t="str">
        <f>HYPERLINK("http://www.broadinstitute.org/gsea/msigdb/cards/GOBP_RESPONSE_TO_ACTIVITY.html","GOBP_RESPONSE_TO_ACTIVITY")</f>
        <v>GOBP_RESPONSE_TO_ACTIVITY</v>
      </c>
      <c r="C5220" s="4">
        <v>30</v>
      </c>
      <c r="D5220" s="3">
        <v>-0.99247770000000002</v>
      </c>
      <c r="E5220" s="1">
        <v>0.47</v>
      </c>
      <c r="F5220" s="2">
        <v>0.70270790000000005</v>
      </c>
    </row>
    <row r="5221" spans="1:6" x14ac:dyDescent="0.25">
      <c r="A5221" t="s">
        <v>6</v>
      </c>
      <c r="B5221" s="5" t="str">
        <f>HYPERLINK("http://www.broadinstitute.org/gsea/msigdb/cards/GOBP_CHONDROCYTE_DIFFERENTIATION_INVOLVED_IN_ENDOCHONDRAL_BONE_MORPHOGENESIS.html","GOBP_CHONDROCYTE_DIFFERENTIATION_INVOLVED_IN_ENDOCHONDRAL_BONE_MORPHOGENESIS")</f>
        <v>GOBP_CHONDROCYTE_DIFFERENTIATION_INVOLVED_IN_ENDOCHONDRAL_BONE_MORPHOGENESIS</v>
      </c>
      <c r="C5221" s="4">
        <v>16</v>
      </c>
      <c r="D5221" s="3">
        <v>-0.99305356</v>
      </c>
      <c r="E5221" s="1">
        <v>0.46516854000000002</v>
      </c>
      <c r="F5221" s="2">
        <v>0.70146839999999999</v>
      </c>
    </row>
    <row r="5222" spans="1:6" x14ac:dyDescent="0.25">
      <c r="A5222" t="s">
        <v>6</v>
      </c>
      <c r="B5222" s="5" t="str">
        <f>HYPERLINK("http://www.broadinstitute.org/gsea/msigdb/cards/GOBP_HEART_GROWTH.html","GOBP_HEART_GROWTH")</f>
        <v>GOBP_HEART_GROWTH</v>
      </c>
      <c r="C5222" s="4">
        <v>117</v>
      </c>
      <c r="D5222" s="3">
        <v>-0.99334359999999999</v>
      </c>
      <c r="E5222" s="1">
        <v>0.4351585</v>
      </c>
      <c r="F5222" s="2">
        <v>0.70112209999999997</v>
      </c>
    </row>
    <row r="5223" spans="1:6" x14ac:dyDescent="0.25">
      <c r="A5223" t="s">
        <v>10</v>
      </c>
      <c r="B5223" s="5" t="str">
        <f>HYPERLINK("http://www.broadinstitute.org/gsea/msigdb/cards/REACTOME_GLYCEROPHOSPHOLIPID_BIOSYNTHESIS.html","REACTOME_GLYCEROPHOSPHOLIPID_BIOSYNTHESIS")</f>
        <v>REACTOME_GLYCEROPHOSPHOLIPID_BIOSYNTHESIS</v>
      </c>
      <c r="C5223" s="4">
        <v>113</v>
      </c>
      <c r="D5223" s="3">
        <v>-0.99334454999999999</v>
      </c>
      <c r="E5223" s="1">
        <v>0.46902653999999999</v>
      </c>
      <c r="F5223" s="2">
        <v>0.70162190000000002</v>
      </c>
    </row>
    <row r="5224" spans="1:6" x14ac:dyDescent="0.25">
      <c r="A5224" t="s">
        <v>8</v>
      </c>
      <c r="B5224" s="5" t="str">
        <f>HYPERLINK("http://www.broadinstitute.org/gsea/msigdb/cards/GOMF_ATPASE_COUPLED_MONOATOMIC_CATION_TRANSMEMBRANE_TRANSPORTER_ACTIVITY.html","GOMF_ATPASE_COUPLED_MONOATOMIC_CATION_TRANSMEMBRANE_TRANSPORTER_ACTIVITY")</f>
        <v>GOMF_ATPASE_COUPLED_MONOATOMIC_CATION_TRANSMEMBRANE_TRANSPORTER_ACTIVITY</v>
      </c>
      <c r="C5224" s="4">
        <v>56</v>
      </c>
      <c r="D5224" s="3">
        <v>-0.99345260000000002</v>
      </c>
      <c r="E5224" s="1">
        <v>0.45953002999999998</v>
      </c>
      <c r="F5224" s="2">
        <v>0.70178132999999998</v>
      </c>
    </row>
    <row r="5225" spans="1:6" x14ac:dyDescent="0.25">
      <c r="A5225" t="s">
        <v>6</v>
      </c>
      <c r="B5225" s="5" t="str">
        <f>HYPERLINK("http://www.broadinstitute.org/gsea/msigdb/cards/GOBP_POSITIVE_REGULATION_OF_MEMBRANE_PERMEABILITY.html","GOBP_POSITIVE_REGULATION_OF_MEMBRANE_PERMEABILITY")</f>
        <v>GOBP_POSITIVE_REGULATION_OF_MEMBRANE_PERMEABILITY</v>
      </c>
      <c r="C5225" s="4">
        <v>43</v>
      </c>
      <c r="D5225" s="3">
        <v>-0.99349414999999996</v>
      </c>
      <c r="E5225" s="1">
        <v>0.45363408</v>
      </c>
      <c r="F5225" s="2">
        <v>0.7021636</v>
      </c>
    </row>
    <row r="5226" spans="1:6" x14ac:dyDescent="0.25">
      <c r="A5226" t="s">
        <v>6</v>
      </c>
      <c r="B5226" s="5" t="str">
        <f>HYPERLINK("http://www.broadinstitute.org/gsea/msigdb/cards/GOBP_STEROL_BIOSYNTHETIC_PROCESS.html","GOBP_STEROL_BIOSYNTHETIC_PROCESS")</f>
        <v>GOBP_STEROL_BIOSYNTHETIC_PROCESS</v>
      </c>
      <c r="C5226" s="4">
        <v>63</v>
      </c>
      <c r="D5226" s="3">
        <v>-0.99371509999999996</v>
      </c>
      <c r="E5226" s="1">
        <v>0.44502619999999998</v>
      </c>
      <c r="F5226" s="2">
        <v>0.70200510000000005</v>
      </c>
    </row>
    <row r="5227" spans="1:6" x14ac:dyDescent="0.25">
      <c r="A5227" t="s">
        <v>6</v>
      </c>
      <c r="B5227" s="5" t="str">
        <f>HYPERLINK("http://www.broadinstitute.org/gsea/msigdb/cards/GOBP_NON_MOTILE_CILIUM_ASSEMBLY.html","GOBP_NON_MOTILE_CILIUM_ASSEMBLY")</f>
        <v>GOBP_NON_MOTILE_CILIUM_ASSEMBLY</v>
      </c>
      <c r="C5227" s="4">
        <v>76</v>
      </c>
      <c r="D5227" s="3">
        <v>-0.9941487</v>
      </c>
      <c r="E5227" s="1">
        <v>0.48087433000000002</v>
      </c>
      <c r="F5227" s="2">
        <v>0.70118789999999998</v>
      </c>
    </row>
    <row r="5228" spans="1:6" x14ac:dyDescent="0.25">
      <c r="A5228" t="s">
        <v>6</v>
      </c>
      <c r="B5228" s="5" t="str">
        <f>HYPERLINK("http://www.broadinstitute.org/gsea/msigdb/cards/GOBP_MELANIN_METABOLIC_PROCESS.html","GOBP_MELANIN_METABOLIC_PROCESS")</f>
        <v>GOBP_MELANIN_METABOLIC_PROCESS</v>
      </c>
      <c r="C5228" s="4">
        <v>26</v>
      </c>
      <c r="D5228" s="3">
        <v>-0.9942086</v>
      </c>
      <c r="E5228" s="1">
        <v>0.43520779999999998</v>
      </c>
      <c r="F5228" s="2">
        <v>0.70150400000000002</v>
      </c>
    </row>
    <row r="5229" spans="1:6" x14ac:dyDescent="0.25">
      <c r="A5229" t="s">
        <v>7</v>
      </c>
      <c r="B5229" s="5" t="str">
        <f>HYPERLINK("http://www.broadinstitute.org/gsea/msigdb/cards/GOCC_MYOSIN_COMPLEX.html","GOCC_MYOSIN_COMPLEX")</f>
        <v>GOCC_MYOSIN_COMPLEX</v>
      </c>
      <c r="C5229" s="4">
        <v>56</v>
      </c>
      <c r="D5229" s="3">
        <v>-0.99435709999999999</v>
      </c>
      <c r="E5229" s="1">
        <v>0.4868421</v>
      </c>
      <c r="F5229" s="2">
        <v>0.70154892999999996</v>
      </c>
    </row>
    <row r="5230" spans="1:6" x14ac:dyDescent="0.25">
      <c r="A5230" t="s">
        <v>10</v>
      </c>
      <c r="B5230" s="5" t="str">
        <f>HYPERLINK("http://www.broadinstitute.org/gsea/msigdb/cards/REACTOME_TP53_REGULATES_TRANSCRIPTION_OF_ADDITIONAL_CELL_CYCLE_GENES_WHOSE_EXACT_ROLE_IN_THE_P53_PATHWAY_REMAIN_UNCERTAIN.html","REACTOME_TP53_REGULATES_TRANSCRIPTION_OF_ADDITIONAL_CELL_CYCLE_GENES_WHOSE_EXACT_ROLE_IN_THE_P53_PATHWAY_REMAIN_UNCERTAIN")</f>
        <v>REACTOME_TP53_REGULATES_TRANSCRIPTION_OF_ADDITIONAL_CELL_CYCLE_GENES_WHOSE_EXACT_ROLE_IN_THE_P53_PATHWAY_REMAIN_UNCERTAIN</v>
      </c>
      <c r="C5230" s="4">
        <v>18</v>
      </c>
      <c r="D5230" s="3">
        <v>-0.99477327000000004</v>
      </c>
      <c r="E5230" s="1">
        <v>0.46153845999999998</v>
      </c>
      <c r="F5230" s="2">
        <v>0.70080880000000001</v>
      </c>
    </row>
    <row r="5231" spans="1:6" x14ac:dyDescent="0.25">
      <c r="A5231" t="s">
        <v>6</v>
      </c>
      <c r="B5231" s="5" t="str">
        <f>HYPERLINK("http://www.broadinstitute.org/gsea/msigdb/cards/GOBP_REGULATION_OF_PROTEIN_DEPOLYMERIZATION.html","GOBP_REGULATION_OF_PROTEIN_DEPOLYMERIZATION")</f>
        <v>GOBP_REGULATION_OF_PROTEIN_DEPOLYMERIZATION</v>
      </c>
      <c r="C5231" s="4">
        <v>95</v>
      </c>
      <c r="D5231" s="3">
        <v>-0.99503165000000005</v>
      </c>
      <c r="E5231" s="1">
        <v>0.4878788</v>
      </c>
      <c r="F5231" s="2">
        <v>0.70053774000000002</v>
      </c>
    </row>
    <row r="5232" spans="1:6" x14ac:dyDescent="0.25">
      <c r="A5232" t="s">
        <v>6</v>
      </c>
      <c r="B5232" s="5" t="str">
        <f>HYPERLINK("http://www.broadinstitute.org/gsea/msigdb/cards/GOBP_CARDIAC_MUSCLE_CELL_PROLIFERATION.html","GOBP_CARDIAC_MUSCLE_CELL_PROLIFERATION")</f>
        <v>GOBP_CARDIAC_MUSCLE_CELL_PROLIFERATION</v>
      </c>
      <c r="C5232" s="4">
        <v>60</v>
      </c>
      <c r="D5232" s="3">
        <v>-0.99513019999999996</v>
      </c>
      <c r="E5232" s="1">
        <v>0.43181819999999999</v>
      </c>
      <c r="F5232" s="2">
        <v>0.70071936000000001</v>
      </c>
    </row>
    <row r="5233" spans="1:6" x14ac:dyDescent="0.25">
      <c r="A5233" t="s">
        <v>8</v>
      </c>
      <c r="B5233" s="5" t="str">
        <f>HYPERLINK("http://www.broadinstitute.org/gsea/msigdb/cards/GOMF_INWARD_RECTIFIER_POTASSIUM_CHANNEL_ACTIVITY.html","GOMF_INWARD_RECTIFIER_POTASSIUM_CHANNEL_ACTIVITY")</f>
        <v>GOMF_INWARD_RECTIFIER_POTASSIUM_CHANNEL_ACTIVITY</v>
      </c>
      <c r="C5233" s="4">
        <v>22</v>
      </c>
      <c r="D5233" s="3">
        <v>-0.99525576999999998</v>
      </c>
      <c r="E5233" s="1">
        <v>0.4549763</v>
      </c>
      <c r="F5233" s="2">
        <v>0.70083569999999995</v>
      </c>
    </row>
    <row r="5234" spans="1:6" x14ac:dyDescent="0.25">
      <c r="A5234" t="s">
        <v>6</v>
      </c>
      <c r="B5234" s="5" t="str">
        <f>HYPERLINK("http://www.broadinstitute.org/gsea/msigdb/cards/GOBP_REPRODUCTIVE_BEHAVIOR.html","GOBP_REPRODUCTIVE_BEHAVIOR")</f>
        <v>GOBP_REPRODUCTIVE_BEHAVIOR</v>
      </c>
      <c r="C5234" s="4">
        <v>57</v>
      </c>
      <c r="D5234" s="3">
        <v>-0.99580102999999998</v>
      </c>
      <c r="E5234" s="1">
        <v>0.41206029999999999</v>
      </c>
      <c r="F5234" s="2">
        <v>0.69958352999999995</v>
      </c>
    </row>
    <row r="5235" spans="1:6" x14ac:dyDescent="0.25">
      <c r="A5235" t="s">
        <v>8</v>
      </c>
      <c r="B5235" s="5" t="str">
        <f>HYPERLINK("http://www.broadinstitute.org/gsea/msigdb/cards/GOMF_FOUR_WAY_JUNCTION_DNA_BINDING.html","GOMF_FOUR_WAY_JUNCTION_DNA_BINDING")</f>
        <v>GOMF_FOUR_WAY_JUNCTION_DNA_BINDING</v>
      </c>
      <c r="C5235" s="4">
        <v>17</v>
      </c>
      <c r="D5235" s="3">
        <v>-0.99627774999999996</v>
      </c>
      <c r="E5235" s="1">
        <v>0.4385965</v>
      </c>
      <c r="F5235" s="2">
        <v>0.6986291</v>
      </c>
    </row>
    <row r="5236" spans="1:6" x14ac:dyDescent="0.25">
      <c r="A5236" t="s">
        <v>8</v>
      </c>
      <c r="B5236" s="5" t="str">
        <f>HYPERLINK("http://www.broadinstitute.org/gsea/msigdb/cards/GOMF_TBP_CLASS_PROTEIN_BINDING.html","GOMF_TBP_CLASS_PROTEIN_BINDING")</f>
        <v>GOMF_TBP_CLASS_PROTEIN_BINDING</v>
      </c>
      <c r="C5236" s="4">
        <v>29</v>
      </c>
      <c r="D5236" s="3">
        <v>-0.99635947000000002</v>
      </c>
      <c r="E5236" s="1">
        <v>0.44615385000000002</v>
      </c>
      <c r="F5236" s="2">
        <v>0.69889590000000001</v>
      </c>
    </row>
    <row r="5237" spans="1:6" x14ac:dyDescent="0.25">
      <c r="A5237" t="s">
        <v>10</v>
      </c>
      <c r="B5237" s="5" t="str">
        <f>HYPERLINK("http://www.broadinstitute.org/gsea/msigdb/cards/REACTOME_SMOOTH_MUSCLE_CONTRACTION.html","REACTOME_SMOOTH_MUSCLE_CONTRACTION")</f>
        <v>REACTOME_SMOOTH_MUSCLE_CONTRACTION</v>
      </c>
      <c r="C5237" s="4">
        <v>34</v>
      </c>
      <c r="D5237" s="3">
        <v>-0.99646979999999996</v>
      </c>
      <c r="E5237" s="1">
        <v>0.45185184</v>
      </c>
      <c r="F5237" s="2">
        <v>0.69907032999999996</v>
      </c>
    </row>
    <row r="5238" spans="1:6" x14ac:dyDescent="0.25">
      <c r="A5238" t="s">
        <v>10</v>
      </c>
      <c r="B5238" s="5" t="str">
        <f>HYPERLINK("http://www.broadinstitute.org/gsea/msigdb/cards/REACTOME_SIGNALING_BY_NUCLEAR_RECEPTORS.html","REACTOME_SIGNALING_BY_NUCLEAR_RECEPTORS")</f>
        <v>REACTOME_SIGNALING_BY_NUCLEAR_RECEPTORS</v>
      </c>
      <c r="C5238" s="4">
        <v>202</v>
      </c>
      <c r="D5238" s="3">
        <v>-0.99676852999999999</v>
      </c>
      <c r="E5238" s="1">
        <v>0.46808509999999998</v>
      </c>
      <c r="F5238" s="2">
        <v>0.69862659999999999</v>
      </c>
    </row>
    <row r="5239" spans="1:6" x14ac:dyDescent="0.25">
      <c r="A5239" t="s">
        <v>8</v>
      </c>
      <c r="B5239" s="5" t="str">
        <f>HYPERLINK("http://www.broadinstitute.org/gsea/msigdb/cards/GOMF_RNA_METHYLTRANSFERASE_ACTIVITY.html","GOMF_RNA_METHYLTRANSFERASE_ACTIVITY")</f>
        <v>GOMF_RNA_METHYLTRANSFERASE_ACTIVITY</v>
      </c>
      <c r="C5239" s="4">
        <v>62</v>
      </c>
      <c r="D5239" s="3">
        <v>-0.99698980000000004</v>
      </c>
      <c r="E5239" s="1">
        <v>0.4611111</v>
      </c>
      <c r="F5239" s="2">
        <v>0.69848889999999997</v>
      </c>
    </row>
    <row r="5240" spans="1:6" x14ac:dyDescent="0.25">
      <c r="A5240" t="s">
        <v>6</v>
      </c>
      <c r="B5240" s="5" t="str">
        <f>HYPERLINK("http://www.broadinstitute.org/gsea/msigdb/cards/GOBP_NEGATIVE_REGULATION_OF_STRESS_ACTIVATED_PROTEIN_KINASE_SIGNALING_CASCADE.html","GOBP_NEGATIVE_REGULATION_OF_STRESS_ACTIVATED_PROTEIN_KINASE_SIGNALING_CASCADE")</f>
        <v>GOBP_NEGATIVE_REGULATION_OF_STRESS_ACTIVATED_PROTEIN_KINASE_SIGNALING_CASCADE</v>
      </c>
      <c r="C5240" s="4">
        <v>48</v>
      </c>
      <c r="D5240" s="3">
        <v>-0.99740879999999998</v>
      </c>
      <c r="E5240" s="1">
        <v>0.44675323</v>
      </c>
      <c r="F5240" s="2">
        <v>0.6977295</v>
      </c>
    </row>
    <row r="5241" spans="1:6" x14ac:dyDescent="0.25">
      <c r="A5241" t="s">
        <v>6</v>
      </c>
      <c r="B5241" s="5" t="str">
        <f>HYPERLINK("http://www.broadinstitute.org/gsea/msigdb/cards/GOBP_AXO_DENDRITIC_TRANSPORT.html","GOBP_AXO_DENDRITIC_TRANSPORT")</f>
        <v>GOBP_AXO_DENDRITIC_TRANSPORT</v>
      </c>
      <c r="C5241" s="4">
        <v>87</v>
      </c>
      <c r="D5241" s="3">
        <v>-0.99814999999999998</v>
      </c>
      <c r="E5241" s="1">
        <v>0.44846796999999999</v>
      </c>
      <c r="F5241" s="2">
        <v>0.69597136999999998</v>
      </c>
    </row>
    <row r="5242" spans="1:6" x14ac:dyDescent="0.25">
      <c r="A5242" t="s">
        <v>6</v>
      </c>
      <c r="B5242" s="5" t="str">
        <f>HYPERLINK("http://www.broadinstitute.org/gsea/msigdb/cards/GOBP_NEGATIVE_REGULATION_OF_TOR_SIGNALING.html","GOBP_NEGATIVE_REGULATION_OF_TOR_SIGNALING")</f>
        <v>GOBP_NEGATIVE_REGULATION_OF_TOR_SIGNALING</v>
      </c>
      <c r="C5242" s="4">
        <v>67</v>
      </c>
      <c r="D5242" s="3">
        <v>-0.99833839999999996</v>
      </c>
      <c r="E5242" s="1">
        <v>0.46197181999999998</v>
      </c>
      <c r="F5242" s="2">
        <v>0.69587069999999995</v>
      </c>
    </row>
    <row r="5243" spans="1:6" x14ac:dyDescent="0.25">
      <c r="A5243" t="s">
        <v>6</v>
      </c>
      <c r="B5243" s="5" t="str">
        <f>HYPERLINK("http://www.broadinstitute.org/gsea/msigdb/cards/GOBP_REGULATION_OF_HISTONE_METHYLATION.html","GOBP_REGULATION_OF_HISTONE_METHYLATION")</f>
        <v>GOBP_REGULATION_OF_HISTONE_METHYLATION</v>
      </c>
      <c r="C5243" s="4">
        <v>20</v>
      </c>
      <c r="D5243" s="3">
        <v>-0.99837799999999999</v>
      </c>
      <c r="E5243" s="1">
        <v>0.4430693</v>
      </c>
      <c r="F5243" s="2">
        <v>0.69625837000000002</v>
      </c>
    </row>
    <row r="5244" spans="1:6" x14ac:dyDescent="0.25">
      <c r="A5244" t="s">
        <v>8</v>
      </c>
      <c r="B5244" s="5" t="str">
        <f>HYPERLINK("http://www.broadinstitute.org/gsea/msigdb/cards/GOMF_PROTEIN_TRANSPORTER_ACTIVITY.html","GOMF_PROTEIN_TRANSPORTER_ACTIVITY")</f>
        <v>GOMF_PROTEIN_TRANSPORTER_ACTIVITY</v>
      </c>
      <c r="C5244" s="4">
        <v>27</v>
      </c>
      <c r="D5244" s="3">
        <v>-0.99864940000000002</v>
      </c>
      <c r="E5244" s="1">
        <v>0.42452830000000003</v>
      </c>
      <c r="F5244" s="2">
        <v>0.69590675999999996</v>
      </c>
    </row>
    <row r="5245" spans="1:6" x14ac:dyDescent="0.25">
      <c r="A5245" t="s">
        <v>10</v>
      </c>
      <c r="B5245" s="5" t="str">
        <f>HYPERLINK("http://www.broadinstitute.org/gsea/msigdb/cards/REACTOME_PROTEIN_METHYLATION.html","REACTOME_PROTEIN_METHYLATION")</f>
        <v>REACTOME_PROTEIN_METHYLATION</v>
      </c>
      <c r="C5245" s="4">
        <v>19</v>
      </c>
      <c r="D5245" s="3">
        <v>-0.99869859999999999</v>
      </c>
      <c r="E5245" s="1">
        <v>0.44444444999999999</v>
      </c>
      <c r="F5245" s="2">
        <v>0.69627309999999998</v>
      </c>
    </row>
    <row r="5246" spans="1:6" x14ac:dyDescent="0.25">
      <c r="A5246" t="s">
        <v>6</v>
      </c>
      <c r="B5246" s="5" t="str">
        <f>HYPERLINK("http://www.broadinstitute.org/gsea/msigdb/cards/GOBP_REGULATION_OF_INTRACELLULAR_STEROID_HORMONE_RECEPTOR_SIGNALING_PATHWAY.html","GOBP_REGULATION_OF_INTRACELLULAR_STEROID_HORMONE_RECEPTOR_SIGNALING_PATHWAY")</f>
        <v>GOBP_REGULATION_OF_INTRACELLULAR_STEROID_HORMONE_RECEPTOR_SIGNALING_PATHWAY</v>
      </c>
      <c r="C5246" s="4">
        <v>78</v>
      </c>
      <c r="D5246" s="3">
        <v>-0.99871540000000003</v>
      </c>
      <c r="E5246" s="1">
        <v>0.47043010000000002</v>
      </c>
      <c r="F5246" s="2">
        <v>0.6967314</v>
      </c>
    </row>
    <row r="5247" spans="1:6" x14ac:dyDescent="0.25">
      <c r="A5247" t="s">
        <v>6</v>
      </c>
      <c r="B5247" s="5" t="str">
        <f>HYPERLINK("http://www.broadinstitute.org/gsea/msigdb/cards/GOBP_MAINTENANCE_OF_PROTEIN_LOCATION_IN_CELL.html","GOBP_MAINTENANCE_OF_PROTEIN_LOCATION_IN_CELL")</f>
        <v>GOBP_MAINTENANCE_OF_PROTEIN_LOCATION_IN_CELL</v>
      </c>
      <c r="C5247" s="4">
        <v>72</v>
      </c>
      <c r="D5247" s="3">
        <v>-0.99902970000000002</v>
      </c>
      <c r="E5247" s="1">
        <v>0.47787610000000003</v>
      </c>
      <c r="F5247" s="2">
        <v>0.69628595999999998</v>
      </c>
    </row>
    <row r="5248" spans="1:6" x14ac:dyDescent="0.25">
      <c r="A5248" t="s">
        <v>6</v>
      </c>
      <c r="B5248" s="5" t="str">
        <f>HYPERLINK("http://www.broadinstitute.org/gsea/msigdb/cards/GOBP_REGULATION_OF_SYNAPTIC_TRANSMISSION_GABAERGIC.html","GOBP_REGULATION_OF_SYNAPTIC_TRANSMISSION_GABAERGIC")</f>
        <v>GOBP_REGULATION_OF_SYNAPTIC_TRANSMISSION_GABAERGIC</v>
      </c>
      <c r="C5248" s="4">
        <v>44</v>
      </c>
      <c r="D5248" s="3">
        <v>-0.99908070000000004</v>
      </c>
      <c r="E5248" s="1">
        <v>0.43543544000000001</v>
      </c>
      <c r="F5248" s="2">
        <v>0.69662849999999998</v>
      </c>
    </row>
    <row r="5249" spans="1:6" x14ac:dyDescent="0.25">
      <c r="A5249" t="s">
        <v>6</v>
      </c>
      <c r="B5249" s="5" t="str">
        <f>HYPERLINK("http://www.broadinstitute.org/gsea/msigdb/cards/GOBP_POSITIVE_REGULATION_OF_LYASE_ACTIVITY.html","GOBP_POSITIVE_REGULATION_OF_LYASE_ACTIVITY")</f>
        <v>GOBP_POSITIVE_REGULATION_OF_LYASE_ACTIVITY</v>
      </c>
      <c r="C5249" s="4">
        <v>38</v>
      </c>
      <c r="D5249" s="3">
        <v>-0.99947697000000002</v>
      </c>
      <c r="E5249" s="1">
        <v>0.44117646999999999</v>
      </c>
      <c r="F5249" s="2">
        <v>0.69595593</v>
      </c>
    </row>
    <row r="5250" spans="1:6" x14ac:dyDescent="0.25">
      <c r="A5250" t="s">
        <v>7</v>
      </c>
      <c r="B5250" s="5" t="str">
        <f>HYPERLINK("http://www.broadinstitute.org/gsea/msigdb/cards/GOCC_KINESIN_COMPLEX.html","GOCC_KINESIN_COMPLEX")</f>
        <v>GOCC_KINESIN_COMPLEX</v>
      </c>
      <c r="C5250" s="4">
        <v>48</v>
      </c>
      <c r="D5250" s="3">
        <v>-0.99953389999999998</v>
      </c>
      <c r="E5250" s="1">
        <v>0.46961324999999998</v>
      </c>
      <c r="F5250" s="2">
        <v>0.69628040000000002</v>
      </c>
    </row>
    <row r="5251" spans="1:6" x14ac:dyDescent="0.25">
      <c r="A5251" t="s">
        <v>6</v>
      </c>
      <c r="B5251" s="5" t="str">
        <f>HYPERLINK("http://www.broadinstitute.org/gsea/msigdb/cards/GOBP_MEIOTIC_CELL_CYCLE_PROCESS.html","GOBP_MEIOTIC_CELL_CYCLE_PROCESS")</f>
        <v>GOBP_MEIOTIC_CELL_CYCLE_PROCESS</v>
      </c>
      <c r="C5251" s="4">
        <v>231</v>
      </c>
      <c r="D5251" s="3">
        <v>-0.99954770000000004</v>
      </c>
      <c r="E5251" s="1">
        <v>0.42605632999999998</v>
      </c>
      <c r="F5251" s="2">
        <v>0.69673269999999998</v>
      </c>
    </row>
    <row r="5252" spans="1:6" x14ac:dyDescent="0.25">
      <c r="A5252" t="s">
        <v>6</v>
      </c>
      <c r="B5252" s="5" t="str">
        <f>HYPERLINK("http://www.broadinstitute.org/gsea/msigdb/cards/GOBP_FEAR_RESPONSE.html","GOBP_FEAR_RESPONSE")</f>
        <v>GOBP_FEAR_RESPONSE</v>
      </c>
      <c r="C5252" s="4">
        <v>61</v>
      </c>
      <c r="D5252" s="3">
        <v>-0.99956982999999999</v>
      </c>
      <c r="E5252" s="1">
        <v>0.44864865999999998</v>
      </c>
      <c r="F5252" s="2">
        <v>0.6971794</v>
      </c>
    </row>
    <row r="5253" spans="1:6" x14ac:dyDescent="0.25">
      <c r="A5253" t="s">
        <v>6</v>
      </c>
      <c r="B5253" s="5" t="str">
        <f>HYPERLINK("http://www.broadinstitute.org/gsea/msigdb/cards/GOBP_POLYAMINE_METABOLIC_PROCESS.html","GOBP_POLYAMINE_METABOLIC_PROCESS")</f>
        <v>GOBP_POLYAMINE_METABOLIC_PROCESS</v>
      </c>
      <c r="C5253" s="4">
        <v>20</v>
      </c>
      <c r="D5253" s="3">
        <v>-0.99961834999999999</v>
      </c>
      <c r="E5253" s="1">
        <v>0.45728642000000003</v>
      </c>
      <c r="F5253" s="2">
        <v>0.69753915</v>
      </c>
    </row>
    <row r="5254" spans="1:6" x14ac:dyDescent="0.25">
      <c r="A5254" t="s">
        <v>10</v>
      </c>
      <c r="B5254" s="5" t="str">
        <f>HYPERLINK("http://www.broadinstitute.org/gsea/msigdb/cards/REACTOME_AFLATOXIN_ACTIVATION_AND_DETOXIFICATION.html","REACTOME_AFLATOXIN_ACTIVATION_AND_DETOXIFICATION")</f>
        <v>REACTOME_AFLATOXIN_ACTIVATION_AND_DETOXIFICATION</v>
      </c>
      <c r="C5254" s="4">
        <v>18</v>
      </c>
      <c r="D5254" s="3">
        <v>-0.99967885000000001</v>
      </c>
      <c r="E5254" s="1">
        <v>0.43333334000000001</v>
      </c>
      <c r="F5254" s="2">
        <v>0.69784869999999999</v>
      </c>
    </row>
    <row r="5255" spans="1:6" x14ac:dyDescent="0.25">
      <c r="A5255" t="s">
        <v>8</v>
      </c>
      <c r="B5255" s="5" t="str">
        <f>HYPERLINK("http://www.broadinstitute.org/gsea/msigdb/cards/GOMF_TRNA_BINDING.html","GOMF_TRNA_BINDING")</f>
        <v>GOMF_TRNA_BINDING</v>
      </c>
      <c r="C5255" s="4">
        <v>76</v>
      </c>
      <c r="D5255" s="3">
        <v>-1.0004681</v>
      </c>
      <c r="E5255" s="1">
        <v>0.46280991999999999</v>
      </c>
      <c r="F5255" s="2">
        <v>0.69597136999999998</v>
      </c>
    </row>
    <row r="5256" spans="1:6" x14ac:dyDescent="0.25">
      <c r="A5256" t="s">
        <v>6</v>
      </c>
      <c r="B5256" s="5" t="str">
        <f>HYPERLINK("http://www.broadinstitute.org/gsea/msigdb/cards/GOBP_REGULATION_OF_SYNAPTIC_PLASTICITY.html","GOBP_REGULATION_OF_SYNAPTIC_PLASTICITY")</f>
        <v>GOBP_REGULATION_OF_SYNAPTIC_PLASTICITY</v>
      </c>
      <c r="C5256" s="4">
        <v>247</v>
      </c>
      <c r="D5256" s="3">
        <v>-1.0006876</v>
      </c>
      <c r="E5256" s="1">
        <v>0.44086019999999998</v>
      </c>
      <c r="F5256" s="2">
        <v>0.69580900000000001</v>
      </c>
    </row>
    <row r="5257" spans="1:6" x14ac:dyDescent="0.25">
      <c r="A5257" t="s">
        <v>6</v>
      </c>
      <c r="B5257" s="5" t="str">
        <f>HYPERLINK("http://www.broadinstitute.org/gsea/msigdb/cards/GOBP_PROTEIN_DEPOLYMERIZATION.html","GOBP_PROTEIN_DEPOLYMERIZATION")</f>
        <v>GOBP_PROTEIN_DEPOLYMERIZATION</v>
      </c>
      <c r="C5257" s="4">
        <v>127</v>
      </c>
      <c r="D5257" s="3">
        <v>-1.0010066</v>
      </c>
      <c r="E5257" s="1">
        <v>0.44444444999999999</v>
      </c>
      <c r="F5257" s="2">
        <v>0.69534545999999997</v>
      </c>
    </row>
    <row r="5258" spans="1:6" x14ac:dyDescent="0.25">
      <c r="A5258" t="s">
        <v>6</v>
      </c>
      <c r="B5258" s="5" t="str">
        <f>HYPERLINK("http://www.broadinstitute.org/gsea/msigdb/cards/GOBP_EAR_DEVELOPMENT.html","GOBP_EAR_DEVELOPMENT")</f>
        <v>GOBP_EAR_DEVELOPMENT</v>
      </c>
      <c r="C5258" s="4">
        <v>251</v>
      </c>
      <c r="D5258" s="3">
        <v>-1.0011511</v>
      </c>
      <c r="E5258" s="1">
        <v>0.46236559999999999</v>
      </c>
      <c r="F5258" s="2">
        <v>0.69541830000000004</v>
      </c>
    </row>
    <row r="5259" spans="1:6" x14ac:dyDescent="0.25">
      <c r="A5259" t="s">
        <v>6</v>
      </c>
      <c r="B5259" s="5" t="str">
        <f>HYPERLINK("http://www.broadinstitute.org/gsea/msigdb/cards/GOBP_MESONEPHROS_DEVELOPMENT.html","GOBP_MESONEPHROS_DEVELOPMENT")</f>
        <v>GOBP_MESONEPHROS_DEVELOPMENT</v>
      </c>
      <c r="C5259" s="4">
        <v>110</v>
      </c>
      <c r="D5259" s="3">
        <v>-1.0012509000000001</v>
      </c>
      <c r="E5259" s="1">
        <v>0.45251395999999999</v>
      </c>
      <c r="F5259" s="2">
        <v>0.6956213</v>
      </c>
    </row>
    <row r="5260" spans="1:6" x14ac:dyDescent="0.25">
      <c r="A5260" t="s">
        <v>6</v>
      </c>
      <c r="B5260" s="5" t="str">
        <f>HYPERLINK("http://www.broadinstitute.org/gsea/msigdb/cards/GOBP_REGULATION_OF_TELOMERE_MAINTENANCE.html","GOBP_REGULATION_OF_TELOMERE_MAINTENANCE")</f>
        <v>GOBP_REGULATION_OF_TELOMERE_MAINTENANCE</v>
      </c>
      <c r="C5260" s="4">
        <v>95</v>
      </c>
      <c r="D5260" s="3">
        <v>-1.0013297999999999</v>
      </c>
      <c r="E5260" s="1">
        <v>0.46285715999999999</v>
      </c>
      <c r="F5260" s="2">
        <v>0.69590629999999998</v>
      </c>
    </row>
    <row r="5261" spans="1:6" x14ac:dyDescent="0.25">
      <c r="A5261" t="s">
        <v>6</v>
      </c>
      <c r="B5261" s="5" t="str">
        <f>HYPERLINK("http://www.broadinstitute.org/gsea/msigdb/cards/GOBP_TRANSPORT_ALONG_MICROTUBULE.html","GOBP_TRANSPORT_ALONG_MICROTUBULE")</f>
        <v>GOBP_TRANSPORT_ALONG_MICROTUBULE</v>
      </c>
      <c r="C5261" s="4">
        <v>179</v>
      </c>
      <c r="D5261" s="3">
        <v>-1.0018033</v>
      </c>
      <c r="E5261" s="1">
        <v>0.45016076999999999</v>
      </c>
      <c r="F5261" s="2">
        <v>0.69490370000000001</v>
      </c>
    </row>
    <row r="5262" spans="1:6" x14ac:dyDescent="0.25">
      <c r="A5262" t="s">
        <v>8</v>
      </c>
      <c r="B5262" s="5" t="str">
        <f>HYPERLINK("http://www.broadinstitute.org/gsea/msigdb/cards/GOMF_PROTEIN_DEMETHYLASE_ACTIVITY.html","GOMF_PROTEIN_DEMETHYLASE_ACTIVITY")</f>
        <v>GOMF_PROTEIN_DEMETHYLASE_ACTIVITY</v>
      </c>
      <c r="C5262" s="4">
        <v>29</v>
      </c>
      <c r="D5262" s="3">
        <v>-1.002043</v>
      </c>
      <c r="E5262" s="1">
        <v>0.47014925000000002</v>
      </c>
      <c r="F5262" s="2">
        <v>0.69472020000000001</v>
      </c>
    </row>
    <row r="5263" spans="1:6" x14ac:dyDescent="0.25">
      <c r="A5263" t="s">
        <v>7</v>
      </c>
      <c r="B5263" s="5" t="str">
        <f>HYPERLINK("http://www.broadinstitute.org/gsea/msigdb/cards/GOCC_SITE_OF_DOUBLE_STRAND_BREAK.html","GOCC_SITE_OF_DOUBLE_STRAND_BREAK")</f>
        <v>GOCC_SITE_OF_DOUBLE_STRAND_BREAK</v>
      </c>
      <c r="C5263" s="4">
        <v>79</v>
      </c>
      <c r="D5263" s="3">
        <v>-1.0022404</v>
      </c>
      <c r="E5263" s="1">
        <v>0.45370369999999999</v>
      </c>
      <c r="F5263" s="2">
        <v>0.69461550000000005</v>
      </c>
    </row>
    <row r="5264" spans="1:6" x14ac:dyDescent="0.25">
      <c r="A5264" t="s">
        <v>6</v>
      </c>
      <c r="B5264" s="5" t="str">
        <f>HYPERLINK("http://www.broadinstitute.org/gsea/msigdb/cards/GOBP_NEGATIVE_REGULATION_OF_PHOSPHATASE_ACTIVITY.html","GOBP_NEGATIVE_REGULATION_OF_PHOSPHATASE_ACTIVITY")</f>
        <v>GOBP_NEGATIVE_REGULATION_OF_PHOSPHATASE_ACTIVITY</v>
      </c>
      <c r="C5264" s="4">
        <v>33</v>
      </c>
      <c r="D5264" s="3">
        <v>-1.0022918000000001</v>
      </c>
      <c r="E5264" s="1">
        <v>0.43358395</v>
      </c>
      <c r="F5264" s="2">
        <v>0.69496579999999997</v>
      </c>
    </row>
    <row r="5265" spans="1:6" x14ac:dyDescent="0.25">
      <c r="A5265" t="s">
        <v>7</v>
      </c>
      <c r="B5265" s="5" t="str">
        <f>HYPERLINK("http://www.broadinstitute.org/gsea/msigdb/cards/GOCC_TRANSCRIPTION_FACTOR_TFIID_COMPLEX.html","GOCC_TRANSCRIPTION_FACTOR_TFIID_COMPLEX")</f>
        <v>GOCC_TRANSCRIPTION_FACTOR_TFIID_COMPLEX</v>
      </c>
      <c r="C5265" s="4">
        <v>31</v>
      </c>
      <c r="D5265" s="3">
        <v>-1.0027298</v>
      </c>
      <c r="E5265" s="1">
        <v>0.41888618</v>
      </c>
      <c r="F5265" s="2">
        <v>0.69418579999999996</v>
      </c>
    </row>
    <row r="5266" spans="1:6" x14ac:dyDescent="0.25">
      <c r="A5266" t="s">
        <v>6</v>
      </c>
      <c r="B5266" s="5" t="str">
        <f>HYPERLINK("http://www.broadinstitute.org/gsea/msigdb/cards/GOBP_EAR_MORPHOGENESIS.html","GOBP_EAR_MORPHOGENESIS")</f>
        <v>GOBP_EAR_MORPHOGENESIS</v>
      </c>
      <c r="C5266" s="4">
        <v>145</v>
      </c>
      <c r="D5266" s="3">
        <v>-1.0032637</v>
      </c>
      <c r="E5266" s="1">
        <v>0.44871794999999998</v>
      </c>
      <c r="F5266" s="2">
        <v>0.69308835000000002</v>
      </c>
    </row>
    <row r="5267" spans="1:6" x14ac:dyDescent="0.25">
      <c r="A5267" t="s">
        <v>8</v>
      </c>
      <c r="B5267" s="5" t="str">
        <f>HYPERLINK("http://www.broadinstitute.org/gsea/msigdb/cards/GOMF_POLY_PURINE_TRACT_BINDING.html","GOMF_POLY_PURINE_TRACT_BINDING")</f>
        <v>GOMF_POLY_PURINE_TRACT_BINDING</v>
      </c>
      <c r="C5267" s="4">
        <v>36</v>
      </c>
      <c r="D5267" s="3">
        <v>-1.0034388000000001</v>
      </c>
      <c r="E5267" s="1">
        <v>0.45774648000000001</v>
      </c>
      <c r="F5267" s="2">
        <v>0.69309739999999997</v>
      </c>
    </row>
    <row r="5268" spans="1:6" x14ac:dyDescent="0.25">
      <c r="A5268" t="s">
        <v>6</v>
      </c>
      <c r="B5268" s="5" t="str">
        <f>HYPERLINK("http://www.broadinstitute.org/gsea/msigdb/cards/GOBP_POSITIVE_REGULATION_OF_CREB_TRANSCRIPTION_FACTOR_ACTIVITY.html","GOBP_POSITIVE_REGULATION_OF_CREB_TRANSCRIPTION_FACTOR_ACTIVITY")</f>
        <v>GOBP_POSITIVE_REGULATION_OF_CREB_TRANSCRIPTION_FACTOR_ACTIVITY</v>
      </c>
      <c r="C5268" s="4">
        <v>15</v>
      </c>
      <c r="D5268" s="3">
        <v>-1.0039667000000001</v>
      </c>
      <c r="E5268" s="1">
        <v>0.45920745000000002</v>
      </c>
      <c r="F5268" s="2">
        <v>0.69204310000000002</v>
      </c>
    </row>
    <row r="5269" spans="1:6" x14ac:dyDescent="0.25">
      <c r="A5269" t="s">
        <v>10</v>
      </c>
      <c r="B5269" s="5" t="str">
        <f>HYPERLINK("http://www.broadinstitute.org/gsea/msigdb/cards/REACTOME_DEADENYLATION_OF_MRNA.html","REACTOME_DEADENYLATION_OF_MRNA")</f>
        <v>REACTOME_DEADENYLATION_OF_MRNA</v>
      </c>
      <c r="C5269" s="4">
        <v>23</v>
      </c>
      <c r="D5269" s="3">
        <v>-1.0043511000000001</v>
      </c>
      <c r="E5269" s="1">
        <v>0.41747572999999999</v>
      </c>
      <c r="F5269" s="2">
        <v>0.69138162999999997</v>
      </c>
    </row>
    <row r="5270" spans="1:6" x14ac:dyDescent="0.25">
      <c r="A5270" t="s">
        <v>7</v>
      </c>
      <c r="B5270" s="5" t="str">
        <f>HYPERLINK("http://www.broadinstitute.org/gsea/msigdb/cards/GOCC_CYTOPLASMIC_EXOSOME_RNASE_COMPLEX.html","GOCC_CYTOPLASMIC_EXOSOME_RNASE_COMPLEX")</f>
        <v>GOCC_CYTOPLASMIC_EXOSOME_RNASE_COMPLEX</v>
      </c>
      <c r="C5270" s="4">
        <v>15</v>
      </c>
      <c r="D5270" s="3">
        <v>-1.0051154</v>
      </c>
      <c r="E5270" s="1">
        <v>0.43614459999999999</v>
      </c>
      <c r="F5270" s="2">
        <v>0.6895888</v>
      </c>
    </row>
    <row r="5271" spans="1:6" x14ac:dyDescent="0.25">
      <c r="A5271" t="s">
        <v>6</v>
      </c>
      <c r="B5271" s="5" t="str">
        <f>HYPERLINK("http://www.broadinstitute.org/gsea/msigdb/cards/GOBP_CELL_JUNCTION_MAINTENANCE.html","GOBP_CELL_JUNCTION_MAINTENANCE")</f>
        <v>GOBP_CELL_JUNCTION_MAINTENANCE</v>
      </c>
      <c r="C5271" s="4">
        <v>51</v>
      </c>
      <c r="D5271" s="3">
        <v>-1.005425</v>
      </c>
      <c r="E5271" s="1">
        <v>0.42079207000000002</v>
      </c>
      <c r="F5271" s="2">
        <v>0.68916710000000003</v>
      </c>
    </row>
    <row r="5272" spans="1:6" x14ac:dyDescent="0.25">
      <c r="A5272" t="s">
        <v>8</v>
      </c>
      <c r="B5272" s="5" t="str">
        <f>HYPERLINK("http://www.broadinstitute.org/gsea/msigdb/cards/GOMF_DAMAGED_DNA_BINDING.html","GOMF_DAMAGED_DNA_BINDING")</f>
        <v>GOMF_DAMAGED_DNA_BINDING</v>
      </c>
      <c r="C5272" s="4">
        <v>64</v>
      </c>
      <c r="D5272" s="3">
        <v>-1.0060849999999999</v>
      </c>
      <c r="E5272" s="1">
        <v>0.44262296000000001</v>
      </c>
      <c r="F5272" s="2">
        <v>0.68766740000000004</v>
      </c>
    </row>
    <row r="5273" spans="1:6" x14ac:dyDescent="0.25">
      <c r="A5273" t="s">
        <v>6</v>
      </c>
      <c r="B5273" s="5" t="str">
        <f>HYPERLINK("http://www.broadinstitute.org/gsea/msigdb/cards/GOBP_SOMITE_DEVELOPMENT.html","GOBP_SOMITE_DEVELOPMENT")</f>
        <v>GOBP_SOMITE_DEVELOPMENT</v>
      </c>
      <c r="C5273" s="4">
        <v>93</v>
      </c>
      <c r="D5273" s="3">
        <v>-1.0065668000000001</v>
      </c>
      <c r="E5273" s="1">
        <v>0.45480227000000001</v>
      </c>
      <c r="F5273" s="2">
        <v>0.68670326000000004</v>
      </c>
    </row>
    <row r="5274" spans="1:6" x14ac:dyDescent="0.25">
      <c r="A5274" t="s">
        <v>6</v>
      </c>
      <c r="B5274" s="5" t="str">
        <f>HYPERLINK("http://www.broadinstitute.org/gsea/msigdb/cards/GOBP_STRIATED_MUSCLE_CELL_PROLIFERATION.html","GOBP_STRIATED_MUSCLE_CELL_PROLIFERATION")</f>
        <v>GOBP_STRIATED_MUSCLE_CELL_PROLIFERATION</v>
      </c>
      <c r="C5274" s="4">
        <v>82</v>
      </c>
      <c r="D5274" s="3">
        <v>-1.0069925</v>
      </c>
      <c r="E5274" s="1">
        <v>0.41818179999999999</v>
      </c>
      <c r="F5274" s="2">
        <v>0.68592839999999999</v>
      </c>
    </row>
    <row r="5275" spans="1:6" x14ac:dyDescent="0.25">
      <c r="A5275" t="s">
        <v>8</v>
      </c>
      <c r="B5275" s="5" t="str">
        <f>HYPERLINK("http://www.broadinstitute.org/gsea/msigdb/cards/GOMF_MYOSIN_BINDING.html","GOMF_MYOSIN_BINDING")</f>
        <v>GOMF_MYOSIN_BINDING</v>
      </c>
      <c r="C5275" s="4">
        <v>76</v>
      </c>
      <c r="D5275" s="3">
        <v>-1.0070621</v>
      </c>
      <c r="E5275" s="1">
        <v>0.43952802000000002</v>
      </c>
      <c r="F5275" s="2">
        <v>0.68624324000000003</v>
      </c>
    </row>
    <row r="5276" spans="1:6" x14ac:dyDescent="0.25">
      <c r="A5276" t="s">
        <v>6</v>
      </c>
      <c r="B5276" s="5" t="str">
        <f>HYPERLINK("http://www.broadinstitute.org/gsea/msigdb/cards/GOBP_REGULATION_OF_SODIUM_ION_TRANSMEMBRANE_TRANSPORTER_ACTIVITY.html","GOBP_REGULATION_OF_SODIUM_ION_TRANSMEMBRANE_TRANSPORTER_ACTIVITY")</f>
        <v>GOBP_REGULATION_OF_SODIUM_ION_TRANSMEMBRANE_TRANSPORTER_ACTIVITY</v>
      </c>
      <c r="C5276" s="4">
        <v>59</v>
      </c>
      <c r="D5276" s="3">
        <v>-1.0071923</v>
      </c>
      <c r="E5276" s="1">
        <v>0.44908616000000001</v>
      </c>
      <c r="F5276" s="2">
        <v>0.68635389999999996</v>
      </c>
    </row>
    <row r="5277" spans="1:6" x14ac:dyDescent="0.25">
      <c r="A5277" t="s">
        <v>6</v>
      </c>
      <c r="B5277" s="5" t="str">
        <f>HYPERLINK("http://www.broadinstitute.org/gsea/msigdb/cards/GOBP_EPIDERMIS_MORPHOGENESIS.html","GOBP_EPIDERMIS_MORPHOGENESIS")</f>
        <v>GOBP_EPIDERMIS_MORPHOGENESIS</v>
      </c>
      <c r="C5277" s="4">
        <v>44</v>
      </c>
      <c r="D5277" s="3">
        <v>-1.0076727000000001</v>
      </c>
      <c r="E5277" s="1">
        <v>0.41643837</v>
      </c>
      <c r="F5277" s="2">
        <v>0.68543240000000005</v>
      </c>
    </row>
    <row r="5278" spans="1:6" x14ac:dyDescent="0.25">
      <c r="A5278" t="s">
        <v>6</v>
      </c>
      <c r="B5278" s="5" t="str">
        <f>HYPERLINK("http://www.broadinstitute.org/gsea/msigdb/cards/GOBP_BINDING_OF_SPERM_TO_ZONA_PELLUCIDA.html","GOBP_BINDING_OF_SPERM_TO_ZONA_PELLUCIDA")</f>
        <v>GOBP_BINDING_OF_SPERM_TO_ZONA_PELLUCIDA</v>
      </c>
      <c r="C5278" s="4">
        <v>43</v>
      </c>
      <c r="D5278" s="3">
        <v>-1.0087737000000001</v>
      </c>
      <c r="E5278" s="1">
        <v>0.43410852999999999</v>
      </c>
      <c r="F5278" s="2">
        <v>0.6825099</v>
      </c>
    </row>
    <row r="5279" spans="1:6" x14ac:dyDescent="0.25">
      <c r="A5279" t="s">
        <v>6</v>
      </c>
      <c r="B5279" s="5" t="str">
        <f>HYPERLINK("http://www.broadinstitute.org/gsea/msigdb/cards/GOBP_RESPONSE_TO_IONIZING_RADIATION.html","GOBP_RESPONSE_TO_IONIZING_RADIATION")</f>
        <v>GOBP_RESPONSE_TO_IONIZING_RADIATION</v>
      </c>
      <c r="C5279" s="4">
        <v>130</v>
      </c>
      <c r="D5279" s="3">
        <v>-1.009171</v>
      </c>
      <c r="E5279" s="1">
        <v>0.41875000000000001</v>
      </c>
      <c r="F5279" s="2">
        <v>0.68179299999999998</v>
      </c>
    </row>
    <row r="5280" spans="1:6" x14ac:dyDescent="0.25">
      <c r="A5280" t="s">
        <v>8</v>
      </c>
      <c r="B5280" s="5" t="str">
        <f>HYPERLINK("http://www.broadinstitute.org/gsea/msigdb/cards/GOMF_DNA_ENDONUCLEASE_ACTIVITY.html","GOMF_DNA_ENDONUCLEASE_ACTIVITY")</f>
        <v>GOMF_DNA_ENDONUCLEASE_ACTIVITY</v>
      </c>
      <c r="C5280" s="4">
        <v>40</v>
      </c>
      <c r="D5280" s="3">
        <v>-1.0095381999999999</v>
      </c>
      <c r="E5280" s="1">
        <v>0.44556962999999999</v>
      </c>
      <c r="F5280" s="2">
        <v>0.68119514000000003</v>
      </c>
    </row>
    <row r="5281" spans="1:6" x14ac:dyDescent="0.25">
      <c r="A5281" t="s">
        <v>6</v>
      </c>
      <c r="B5281" s="5" t="str">
        <f>HYPERLINK("http://www.broadinstitute.org/gsea/msigdb/cards/GOBP_POSITIVE_REGULATION_OF_MYELINATION.html","GOBP_POSITIVE_REGULATION_OF_MYELINATION")</f>
        <v>GOBP_POSITIVE_REGULATION_OF_MYELINATION</v>
      </c>
      <c r="C5281" s="4">
        <v>24</v>
      </c>
      <c r="D5281" s="3">
        <v>-1.0095555000000001</v>
      </c>
      <c r="E5281" s="1">
        <v>0.44303799999999999</v>
      </c>
      <c r="F5281" s="2">
        <v>0.68164590000000003</v>
      </c>
    </row>
    <row r="5282" spans="1:6" x14ac:dyDescent="0.25">
      <c r="A5282" t="s">
        <v>6</v>
      </c>
      <c r="B5282" s="5" t="str">
        <f>HYPERLINK("http://www.broadinstitute.org/gsea/msigdb/cards/GOBP_POSITIVE_REGULATION_OF_CELL_CYCLE_G1_S_PHASE_TRANSITION.html","GOBP_POSITIVE_REGULATION_OF_CELL_CYCLE_G1_S_PHASE_TRANSITION")</f>
        <v>GOBP_POSITIVE_REGULATION_OF_CELL_CYCLE_G1_S_PHASE_TRANSITION</v>
      </c>
      <c r="C5282" s="4">
        <v>59</v>
      </c>
      <c r="D5282" s="3">
        <v>-1.0096111000000001</v>
      </c>
      <c r="E5282" s="1">
        <v>0.42296919999999999</v>
      </c>
      <c r="F5282" s="2">
        <v>0.68197430000000003</v>
      </c>
    </row>
    <row r="5283" spans="1:6" x14ac:dyDescent="0.25">
      <c r="A5283" t="s">
        <v>10</v>
      </c>
      <c r="B5283" s="5" t="str">
        <f>HYPERLINK("http://www.broadinstitute.org/gsea/msigdb/cards/REACTOME_SEROTONIN_NEUROTRANSMITTER_RELEASE_CYCLE.html","REACTOME_SEROTONIN_NEUROTRANSMITTER_RELEASE_CYCLE")</f>
        <v>REACTOME_SEROTONIN_NEUROTRANSMITTER_RELEASE_CYCLE</v>
      </c>
      <c r="C5283" s="4">
        <v>18</v>
      </c>
      <c r="D5283" s="3">
        <v>-1.0096186</v>
      </c>
      <c r="E5283" s="1">
        <v>0.39951575</v>
      </c>
      <c r="F5283" s="2">
        <v>0.68246549999999995</v>
      </c>
    </row>
    <row r="5284" spans="1:6" x14ac:dyDescent="0.25">
      <c r="A5284" t="s">
        <v>7</v>
      </c>
      <c r="B5284" s="5" t="str">
        <f>HYPERLINK("http://www.broadinstitute.org/gsea/msigdb/cards/GOCC_RNA_POLYMERASE_II_TRANSCRIPTION_REGULATOR_COMPLEX.html","GOCC_RNA_POLYMERASE_II_TRANSCRIPTION_REGULATOR_COMPLEX")</f>
        <v>GOCC_RNA_POLYMERASE_II_TRANSCRIPTION_REGULATOR_COMPLEX</v>
      </c>
      <c r="C5284" s="4">
        <v>243</v>
      </c>
      <c r="D5284" s="3">
        <v>-1.0100359000000001</v>
      </c>
      <c r="E5284" s="1">
        <v>0.44360903000000002</v>
      </c>
      <c r="F5284" s="2">
        <v>0.68169100000000005</v>
      </c>
    </row>
    <row r="5285" spans="1:6" x14ac:dyDescent="0.25">
      <c r="A5285" t="s">
        <v>6</v>
      </c>
      <c r="B5285" s="5" t="str">
        <f>HYPERLINK("http://www.broadinstitute.org/gsea/msigdb/cards/GOBP_SNRNA_METABOLIC_PROCESS.html","GOBP_SNRNA_METABOLIC_PROCESS")</f>
        <v>GOBP_SNRNA_METABOLIC_PROCESS</v>
      </c>
      <c r="C5285" s="4">
        <v>50</v>
      </c>
      <c r="D5285" s="3">
        <v>-1.0103111</v>
      </c>
      <c r="E5285" s="1">
        <v>0.43307087</v>
      </c>
      <c r="F5285" s="2">
        <v>0.68136494999999997</v>
      </c>
    </row>
    <row r="5286" spans="1:6" x14ac:dyDescent="0.25">
      <c r="A5286" t="s">
        <v>8</v>
      </c>
      <c r="B5286" s="5" t="str">
        <f>HYPERLINK("http://www.broadinstitute.org/gsea/msigdb/cards/GOMF_DISORDERED_DOMAIN_SPECIFIC_BINDING.html","GOMF_DISORDERED_DOMAIN_SPECIFIC_BINDING")</f>
        <v>GOMF_DISORDERED_DOMAIN_SPECIFIC_BINDING</v>
      </c>
      <c r="C5286" s="4">
        <v>33</v>
      </c>
      <c r="D5286" s="3">
        <v>-1.0104673</v>
      </c>
      <c r="E5286" s="1">
        <v>0.42744063999999998</v>
      </c>
      <c r="F5286" s="2">
        <v>0.68139159999999999</v>
      </c>
    </row>
    <row r="5287" spans="1:6" x14ac:dyDescent="0.25">
      <c r="A5287" t="s">
        <v>6</v>
      </c>
      <c r="B5287" s="5" t="str">
        <f>HYPERLINK("http://www.broadinstitute.org/gsea/msigdb/cards/GOBP_REGULATION_OF_NEURONAL_SYNAPTIC_PLASTICITY.html","GOBP_REGULATION_OF_NEURONAL_SYNAPTIC_PLASTICITY")</f>
        <v>GOBP_REGULATION_OF_NEURONAL_SYNAPTIC_PLASTICITY</v>
      </c>
      <c r="C5287" s="4">
        <v>73</v>
      </c>
      <c r="D5287" s="3">
        <v>-1.0108945</v>
      </c>
      <c r="E5287" s="1">
        <v>0.42663044</v>
      </c>
      <c r="F5287" s="2">
        <v>0.68060370000000003</v>
      </c>
    </row>
    <row r="5288" spans="1:6" x14ac:dyDescent="0.25">
      <c r="A5288" t="s">
        <v>6</v>
      </c>
      <c r="B5288" s="5" t="str">
        <f>HYPERLINK("http://www.broadinstitute.org/gsea/msigdb/cards/GOBP_MITOTIC_CHROMOSOME_CONDENSATION.html","GOBP_MITOTIC_CHROMOSOME_CONDENSATION")</f>
        <v>GOBP_MITOTIC_CHROMOSOME_CONDENSATION</v>
      </c>
      <c r="C5288" s="4">
        <v>15</v>
      </c>
      <c r="D5288" s="3">
        <v>-1.0111209999999999</v>
      </c>
      <c r="E5288" s="1">
        <v>0.41247</v>
      </c>
      <c r="F5288" s="2">
        <v>0.68046459999999998</v>
      </c>
    </row>
    <row r="5289" spans="1:6" x14ac:dyDescent="0.25">
      <c r="A5289" t="s">
        <v>6</v>
      </c>
      <c r="B5289" s="5" t="str">
        <f>HYPERLINK("http://www.broadinstitute.org/gsea/msigdb/cards/GOBP_GLUTAMATERGIC_NEURON_DIFFERENTIATION.html","GOBP_GLUTAMATERGIC_NEURON_DIFFERENTIATION")</f>
        <v>GOBP_GLUTAMATERGIC_NEURON_DIFFERENTIATION</v>
      </c>
      <c r="C5289" s="4">
        <v>26</v>
      </c>
      <c r="D5289" s="3">
        <v>-1.0118388</v>
      </c>
      <c r="E5289" s="1">
        <v>0.44341803000000002</v>
      </c>
      <c r="F5289" s="2">
        <v>0.67882089999999995</v>
      </c>
    </row>
    <row r="5290" spans="1:6" x14ac:dyDescent="0.25">
      <c r="A5290" t="s">
        <v>6</v>
      </c>
      <c r="B5290" s="5" t="str">
        <f>HYPERLINK("http://www.broadinstitute.org/gsea/msigdb/cards/GOBP_POSITIVE_REGULATION_OF_DENDRITIC_SPINE_DEVELOPMENT.html","GOBP_POSITIVE_REGULATION_OF_DENDRITIC_SPINE_DEVELOPMENT")</f>
        <v>GOBP_POSITIVE_REGULATION_OF_DENDRITIC_SPINE_DEVELOPMENT</v>
      </c>
      <c r="C5290" s="4">
        <v>66</v>
      </c>
      <c r="D5290" s="3">
        <v>-1.0124118</v>
      </c>
      <c r="E5290" s="1">
        <v>0.42257217000000002</v>
      </c>
      <c r="F5290" s="2">
        <v>0.67758470000000004</v>
      </c>
    </row>
    <row r="5291" spans="1:6" x14ac:dyDescent="0.25">
      <c r="A5291" t="s">
        <v>6</v>
      </c>
      <c r="B5291" s="5" t="str">
        <f>HYPERLINK("http://www.broadinstitute.org/gsea/msigdb/cards/GOBP_REGULATION_OF_DOUBLE_STRAND_BREAK_REPAIR_VIA_NONHOMOLOGOUS_END_JOINING.html","GOBP_REGULATION_OF_DOUBLE_STRAND_BREAK_REPAIR_VIA_NONHOMOLOGOUS_END_JOINING")</f>
        <v>GOBP_REGULATION_OF_DOUBLE_STRAND_BREAK_REPAIR_VIA_NONHOMOLOGOUS_END_JOINING</v>
      </c>
      <c r="C5291" s="4">
        <v>27</v>
      </c>
      <c r="D5291" s="3">
        <v>-1.012459</v>
      </c>
      <c r="E5291" s="1">
        <v>0.41898150000000001</v>
      </c>
      <c r="F5291" s="2">
        <v>0.67795340000000004</v>
      </c>
    </row>
    <row r="5292" spans="1:6" x14ac:dyDescent="0.25">
      <c r="A5292" t="s">
        <v>6</v>
      </c>
      <c r="B5292" s="5" t="str">
        <f>HYPERLINK("http://www.broadinstitute.org/gsea/msigdb/cards/GOBP_POSITIVE_REGULATION_OF_MITOTIC_CELL_CYCLE_PHASE_TRANSITION.html","GOBP_POSITIVE_REGULATION_OF_MITOTIC_CELL_CYCLE_PHASE_TRANSITION")</f>
        <v>GOBP_POSITIVE_REGULATION_OF_MITOTIC_CELL_CYCLE_PHASE_TRANSITION</v>
      </c>
      <c r="C5292" s="4">
        <v>93</v>
      </c>
      <c r="D5292" s="3">
        <v>-1.0133034000000001</v>
      </c>
      <c r="E5292" s="1">
        <v>0.42819148000000001</v>
      </c>
      <c r="F5292" s="2">
        <v>0.67593866999999996</v>
      </c>
    </row>
    <row r="5293" spans="1:6" x14ac:dyDescent="0.25">
      <c r="A5293" t="s">
        <v>7</v>
      </c>
      <c r="B5293" s="5" t="str">
        <f>HYPERLINK("http://www.broadinstitute.org/gsea/msigdb/cards/GOCC_GABA_ERGIC_SYNAPSE.html","GOCC_GABA_ERGIC_SYNAPSE")</f>
        <v>GOCC_GABA_ERGIC_SYNAPSE</v>
      </c>
      <c r="C5293" s="4">
        <v>132</v>
      </c>
      <c r="D5293" s="3">
        <v>-1.0135763</v>
      </c>
      <c r="E5293" s="1">
        <v>0.41408450000000002</v>
      </c>
      <c r="F5293" s="2">
        <v>0.67562865999999999</v>
      </c>
    </row>
    <row r="5294" spans="1:6" x14ac:dyDescent="0.25">
      <c r="A5294" t="s">
        <v>11</v>
      </c>
      <c r="B5294" s="5" t="str">
        <f>HYPERLINK("http://www.broadinstitute.org/gsea/msigdb/cards/WP_CHOLESTEROL_BIOSYNTHESIS.html","WP_CHOLESTEROL_BIOSYNTHESIS")</f>
        <v>WP_CHOLESTEROL_BIOSYNTHESIS</v>
      </c>
      <c r="C5294" s="4">
        <v>15</v>
      </c>
      <c r="D5294" s="3">
        <v>-1.0143937999999999</v>
      </c>
      <c r="E5294" s="1">
        <v>0.42004773000000001</v>
      </c>
      <c r="F5294" s="2">
        <v>0.67360140000000002</v>
      </c>
    </row>
    <row r="5295" spans="1:6" x14ac:dyDescent="0.25">
      <c r="A5295" t="s">
        <v>6</v>
      </c>
      <c r="B5295" s="5" t="str">
        <f>HYPERLINK("http://www.broadinstitute.org/gsea/msigdb/cards/GOBP_SKELETAL_MUSCLE_TISSUE_REGENERATION.html","GOBP_SKELETAL_MUSCLE_TISSUE_REGENERATION")</f>
        <v>GOBP_SKELETAL_MUSCLE_TISSUE_REGENERATION</v>
      </c>
      <c r="C5295" s="4">
        <v>46</v>
      </c>
      <c r="D5295" s="3">
        <v>-1.0150827</v>
      </c>
      <c r="E5295" s="1">
        <v>0.44364510000000001</v>
      </c>
      <c r="F5295" s="2">
        <v>0.67200780000000004</v>
      </c>
    </row>
    <row r="5296" spans="1:6" x14ac:dyDescent="0.25">
      <c r="A5296" t="s">
        <v>10</v>
      </c>
      <c r="B5296" s="5" t="str">
        <f>HYPERLINK("http://www.broadinstitute.org/gsea/msigdb/cards/REACTOME_WNT_LIGAND_BIOGENESIS_AND_TRAFFICKING.html","REACTOME_WNT_LIGAND_BIOGENESIS_AND_TRAFFICKING")</f>
        <v>REACTOME_WNT_LIGAND_BIOGENESIS_AND_TRAFFICKING</v>
      </c>
      <c r="C5296" s="4">
        <v>25</v>
      </c>
      <c r="D5296" s="3">
        <v>-1.0152136</v>
      </c>
      <c r="E5296" s="1">
        <v>0.41708543999999997</v>
      </c>
      <c r="F5296" s="2">
        <v>0.67212223999999998</v>
      </c>
    </row>
    <row r="5297" spans="1:6" x14ac:dyDescent="0.25">
      <c r="A5297" t="s">
        <v>6</v>
      </c>
      <c r="B5297" s="5" t="str">
        <f>HYPERLINK("http://www.broadinstitute.org/gsea/msigdb/cards/GOBP_PROTEIN_LOCALIZATION_TO_CHROMATIN.html","GOBP_PROTEIN_LOCALIZATION_TO_CHROMATIN")</f>
        <v>GOBP_PROTEIN_LOCALIZATION_TO_CHROMATIN</v>
      </c>
      <c r="C5297" s="4">
        <v>43</v>
      </c>
      <c r="D5297" s="3">
        <v>-1.0154585</v>
      </c>
      <c r="E5297" s="1">
        <v>0.41708543999999997</v>
      </c>
      <c r="F5297" s="2">
        <v>0.67186475000000001</v>
      </c>
    </row>
    <row r="5298" spans="1:6" x14ac:dyDescent="0.25">
      <c r="A5298" t="s">
        <v>6</v>
      </c>
      <c r="B5298" s="5" t="str">
        <f>HYPERLINK("http://www.broadinstitute.org/gsea/msigdb/cards/GOBP_PROTEIN_LOCALIZATION_TO_MICROTUBULE_ORGANIZING_CENTER.html","GOBP_PROTEIN_LOCALIZATION_TO_MICROTUBULE_ORGANIZING_CENTER")</f>
        <v>GOBP_PROTEIN_LOCALIZATION_TO_MICROTUBULE_ORGANIZING_CENTER</v>
      </c>
      <c r="C5298" s="4">
        <v>36</v>
      </c>
      <c r="D5298" s="3">
        <v>-1.0155506999999999</v>
      </c>
      <c r="E5298" s="1">
        <v>0.43589744000000002</v>
      </c>
      <c r="F5298" s="2">
        <v>0.67209965000000005</v>
      </c>
    </row>
    <row r="5299" spans="1:6" x14ac:dyDescent="0.25">
      <c r="A5299" t="s">
        <v>6</v>
      </c>
      <c r="B5299" s="5" t="str">
        <f>HYPERLINK("http://www.broadinstitute.org/gsea/msigdb/cards/GOBP_NEGATIVE_REGULATION_OF_CALCIUM_ION_TRANSPORT.html","GOBP_NEGATIVE_REGULATION_OF_CALCIUM_ION_TRANSPORT")</f>
        <v>GOBP_NEGATIVE_REGULATION_OF_CALCIUM_ION_TRANSPORT</v>
      </c>
      <c r="C5299" s="4">
        <v>74</v>
      </c>
      <c r="D5299" s="3">
        <v>-1.0174584</v>
      </c>
      <c r="E5299" s="1">
        <v>0.44242424000000002</v>
      </c>
      <c r="F5299" s="2">
        <v>0.66689944000000001</v>
      </c>
    </row>
    <row r="5300" spans="1:6" x14ac:dyDescent="0.25">
      <c r="A5300" t="s">
        <v>8</v>
      </c>
      <c r="B5300" s="5" t="str">
        <f>HYPERLINK("http://www.broadinstitute.org/gsea/msigdb/cards/GOMF_LIGASE_ACTIVITY.html","GOMF_LIGASE_ACTIVITY")</f>
        <v>GOMF_LIGASE_ACTIVITY</v>
      </c>
      <c r="C5300" s="4">
        <v>159</v>
      </c>
      <c r="D5300" s="3">
        <v>-1.0177672</v>
      </c>
      <c r="E5300" s="1">
        <v>0.38535032000000002</v>
      </c>
      <c r="F5300" s="2">
        <v>0.66649689999999995</v>
      </c>
    </row>
    <row r="5301" spans="1:6" x14ac:dyDescent="0.25">
      <c r="A5301" t="s">
        <v>7</v>
      </c>
      <c r="B5301" s="5" t="str">
        <f>HYPERLINK("http://www.broadinstitute.org/gsea/msigdb/cards/GOCC_POSTSYNAPTIC_SPECIALIZATION.html","GOCC_POSTSYNAPTIC_SPECIALIZATION")</f>
        <v>GOCC_POSTSYNAPTIC_SPECIALIZATION</v>
      </c>
      <c r="C5301" s="4">
        <v>427</v>
      </c>
      <c r="D5301" s="3">
        <v>-1.0178750000000001</v>
      </c>
      <c r="E5301" s="1">
        <v>0.33816424</v>
      </c>
      <c r="F5301" s="2">
        <v>0.66669339999999999</v>
      </c>
    </row>
    <row r="5302" spans="1:6" x14ac:dyDescent="0.25">
      <c r="A5302" t="s">
        <v>6</v>
      </c>
      <c r="B5302" s="5" t="str">
        <f>HYPERLINK("http://www.broadinstitute.org/gsea/msigdb/cards/GOBP_EPITHELIAL_CELL_DIFFERENTIATION_INVOLVED_IN_PROSTATE_GLAND_DEVELOPMENT.html","GOBP_EPITHELIAL_CELL_DIFFERENTIATION_INVOLVED_IN_PROSTATE_GLAND_DEVELOPMENT")</f>
        <v>GOBP_EPITHELIAL_CELL_DIFFERENTIATION_INVOLVED_IN_PROSTATE_GLAND_DEVELOPMENT</v>
      </c>
      <c r="C5302" s="4">
        <v>15</v>
      </c>
      <c r="D5302" s="3">
        <v>-1.0180141</v>
      </c>
      <c r="E5302" s="1">
        <v>0.43091336000000002</v>
      </c>
      <c r="F5302" s="2">
        <v>0.66678280000000001</v>
      </c>
    </row>
    <row r="5303" spans="1:6" x14ac:dyDescent="0.25">
      <c r="A5303" t="s">
        <v>7</v>
      </c>
      <c r="B5303" s="5" t="str">
        <f>HYPERLINK("http://www.broadinstitute.org/gsea/msigdb/cards/GOCC_SMALL_SUBUNIT_PROCESSOME.html","GOCC_SMALL_SUBUNIT_PROCESSOME")</f>
        <v>GOCC_SMALL_SUBUNIT_PROCESSOME</v>
      </c>
      <c r="C5303" s="4">
        <v>71</v>
      </c>
      <c r="D5303" s="3">
        <v>-1.0181088</v>
      </c>
      <c r="E5303" s="1">
        <v>0.4</v>
      </c>
      <c r="F5303" s="2">
        <v>0.66703679999999999</v>
      </c>
    </row>
    <row r="5304" spans="1:6" x14ac:dyDescent="0.25">
      <c r="A5304" t="s">
        <v>7</v>
      </c>
      <c r="B5304" s="5" t="str">
        <f>HYPERLINK("http://www.broadinstitute.org/gsea/msigdb/cards/GOCC_NEURON_TO_NEURON_SYNAPSE.html","GOCC_NEURON_TO_NEURON_SYNAPSE")</f>
        <v>GOCC_NEURON_TO_NEURON_SYNAPSE</v>
      </c>
      <c r="C5304" s="4">
        <v>440</v>
      </c>
      <c r="D5304" s="3">
        <v>-1.0181576999999999</v>
      </c>
      <c r="E5304" s="1">
        <v>0.36666666999999997</v>
      </c>
      <c r="F5304" s="2">
        <v>0.66738989999999998</v>
      </c>
    </row>
    <row r="5305" spans="1:6" x14ac:dyDescent="0.25">
      <c r="A5305" t="s">
        <v>8</v>
      </c>
      <c r="B5305" s="5" t="str">
        <f>HYPERLINK("http://www.broadinstitute.org/gsea/msigdb/cards/GOMF_DEACETYLASE_ACTIVITY.html","GOMF_DEACETYLASE_ACTIVITY")</f>
        <v>GOMF_DEACETYLASE_ACTIVITY</v>
      </c>
      <c r="C5305" s="4">
        <v>34</v>
      </c>
      <c r="D5305" s="3">
        <v>-1.0193019999999999</v>
      </c>
      <c r="E5305" s="1">
        <v>0.42118862000000001</v>
      </c>
      <c r="F5305" s="2">
        <v>0.66455770000000003</v>
      </c>
    </row>
    <row r="5306" spans="1:6" x14ac:dyDescent="0.25">
      <c r="A5306" t="s">
        <v>6</v>
      </c>
      <c r="B5306" s="5" t="str">
        <f>HYPERLINK("http://www.broadinstitute.org/gsea/msigdb/cards/GOBP_BEHAVIORAL_RESPONSE_TO_COCAINE.html","GOBP_BEHAVIORAL_RESPONSE_TO_COCAINE")</f>
        <v>GOBP_BEHAVIORAL_RESPONSE_TO_COCAINE</v>
      </c>
      <c r="C5306" s="4">
        <v>20</v>
      </c>
      <c r="D5306" s="3">
        <v>-1.0205605</v>
      </c>
      <c r="E5306" s="1">
        <v>0.41234567999999999</v>
      </c>
      <c r="F5306" s="2">
        <v>0.66134256000000002</v>
      </c>
    </row>
    <row r="5307" spans="1:6" x14ac:dyDescent="0.25">
      <c r="A5307" t="s">
        <v>6</v>
      </c>
      <c r="B5307" s="5" t="str">
        <f>HYPERLINK("http://www.broadinstitute.org/gsea/msigdb/cards/GOBP_NERVOUS_SYSTEM_PROCESS_INVOLVED_IN_REGULATION_OF_SYSTEMIC_ARTERIAL_BLOOD_PRESSURE.html","GOBP_NERVOUS_SYSTEM_PROCESS_INVOLVED_IN_REGULATION_OF_SYSTEMIC_ARTERIAL_BLOOD_PRESSURE")</f>
        <v>GOBP_NERVOUS_SYSTEM_PROCESS_INVOLVED_IN_REGULATION_OF_SYSTEMIC_ARTERIAL_BLOOD_PRESSURE</v>
      </c>
      <c r="C5307" s="4">
        <v>22</v>
      </c>
      <c r="D5307" s="3">
        <v>-1.0206184</v>
      </c>
      <c r="E5307" s="1">
        <v>0.4116223</v>
      </c>
      <c r="F5307" s="2">
        <v>0.66165984</v>
      </c>
    </row>
    <row r="5308" spans="1:6" x14ac:dyDescent="0.25">
      <c r="A5308" t="s">
        <v>6</v>
      </c>
      <c r="B5308" s="5" t="str">
        <f>HYPERLINK("http://www.broadinstitute.org/gsea/msigdb/cards/GOBP_CEREBELLAR_CORTEX_MORPHOGENESIS.html","GOBP_CEREBELLAR_CORTEX_MORPHOGENESIS")</f>
        <v>GOBP_CEREBELLAR_CORTEX_MORPHOGENESIS</v>
      </c>
      <c r="C5308" s="4">
        <v>46</v>
      </c>
      <c r="D5308" s="3">
        <v>-1.0211492</v>
      </c>
      <c r="E5308" s="1">
        <v>0.40932643000000002</v>
      </c>
      <c r="F5308" s="2">
        <v>0.660609</v>
      </c>
    </row>
    <row r="5309" spans="1:6" x14ac:dyDescent="0.25">
      <c r="A5309" t="s">
        <v>6</v>
      </c>
      <c r="B5309" s="5" t="str">
        <f>HYPERLINK("http://www.broadinstitute.org/gsea/msigdb/cards/GOBP_PROTEIN_LOCALIZATION_TO_CHROMOSOME.html","GOBP_PROTEIN_LOCALIZATION_TO_CHROMOSOME")</f>
        <v>GOBP_PROTEIN_LOCALIZATION_TO_CHROMOSOME</v>
      </c>
      <c r="C5309" s="4">
        <v>107</v>
      </c>
      <c r="D5309" s="3">
        <v>-1.0220758999999999</v>
      </c>
      <c r="E5309" s="1">
        <v>0.36990594999999998</v>
      </c>
      <c r="F5309" s="2">
        <v>0.65829190000000004</v>
      </c>
    </row>
    <row r="5310" spans="1:6" x14ac:dyDescent="0.25">
      <c r="A5310" t="s">
        <v>6</v>
      </c>
      <c r="B5310" s="5" t="str">
        <f>HYPERLINK("http://www.broadinstitute.org/gsea/msigdb/cards/GOBP_POSITIVE_REGULATION_OF_EXCITATORY_POSTSYNAPTIC_POTENTIAL.html","GOBP_POSITIVE_REGULATION_OF_EXCITATORY_POSTSYNAPTIC_POTENTIAL")</f>
        <v>GOBP_POSITIVE_REGULATION_OF_EXCITATORY_POSTSYNAPTIC_POTENTIAL</v>
      </c>
      <c r="C5310" s="4">
        <v>42</v>
      </c>
      <c r="D5310" s="3">
        <v>-1.0223249000000001</v>
      </c>
      <c r="E5310" s="1">
        <v>0.40336135000000001</v>
      </c>
      <c r="F5310" s="2">
        <v>0.65802115000000005</v>
      </c>
    </row>
    <row r="5311" spans="1:6" x14ac:dyDescent="0.25">
      <c r="A5311" t="s">
        <v>6</v>
      </c>
      <c r="B5311" s="5" t="str">
        <f>HYPERLINK("http://www.broadinstitute.org/gsea/msigdb/cards/GOBP_MITOCHONDRIAL_DNA_REPLICATION.html","GOBP_MITOCHONDRIAL_DNA_REPLICATION")</f>
        <v>GOBP_MITOCHONDRIAL_DNA_REPLICATION</v>
      </c>
      <c r="C5311" s="4">
        <v>16</v>
      </c>
      <c r="D5311" s="3">
        <v>-1.0226690000000001</v>
      </c>
      <c r="E5311" s="1">
        <v>0.42760179999999998</v>
      </c>
      <c r="F5311" s="2">
        <v>0.65746230000000006</v>
      </c>
    </row>
    <row r="5312" spans="1:6" x14ac:dyDescent="0.25">
      <c r="A5312" t="s">
        <v>6</v>
      </c>
      <c r="B5312" s="5" t="str">
        <f>HYPERLINK("http://www.broadinstitute.org/gsea/msigdb/cards/GOBP_NEGATIVE_REGULATION_OF_INTRACELLULAR_STEROID_HORMONE_RECEPTOR_SIGNALING_PATHWAY.html","GOBP_NEGATIVE_REGULATION_OF_INTRACELLULAR_STEROID_HORMONE_RECEPTOR_SIGNALING_PATHWAY")</f>
        <v>GOBP_NEGATIVE_REGULATION_OF_INTRACELLULAR_STEROID_HORMONE_RECEPTOR_SIGNALING_PATHWAY</v>
      </c>
      <c r="C5312" s="4">
        <v>39</v>
      </c>
      <c r="D5312" s="3">
        <v>-1.0227866000000001</v>
      </c>
      <c r="E5312" s="1">
        <v>0.38196287000000001</v>
      </c>
      <c r="F5312" s="2">
        <v>0.65762359999999997</v>
      </c>
    </row>
    <row r="5313" spans="1:6" x14ac:dyDescent="0.25">
      <c r="A5313" t="s">
        <v>6</v>
      </c>
      <c r="B5313" s="5" t="str">
        <f>HYPERLINK("http://www.broadinstitute.org/gsea/msigdb/cards/GOBP_POSITIVE_REGULATION_OF_SODIUM_ION_TRANSMEMBRANE_TRANSPORTER_ACTIVITY.html","GOBP_POSITIVE_REGULATION_OF_SODIUM_ION_TRANSMEMBRANE_TRANSPORTER_ACTIVITY")</f>
        <v>GOBP_POSITIVE_REGULATION_OF_SODIUM_ION_TRANSMEMBRANE_TRANSPORTER_ACTIVITY</v>
      </c>
      <c r="C5313" s="4">
        <v>19</v>
      </c>
      <c r="D5313" s="3">
        <v>-1.0227978</v>
      </c>
      <c r="E5313" s="1">
        <v>0.40271494000000002</v>
      </c>
      <c r="F5313" s="2">
        <v>0.65808785000000003</v>
      </c>
    </row>
    <row r="5314" spans="1:6" x14ac:dyDescent="0.25">
      <c r="A5314" t="s">
        <v>6</v>
      </c>
      <c r="B5314" s="5" t="str">
        <f>HYPERLINK("http://www.broadinstitute.org/gsea/msigdb/cards/GOBP_CEREBRAL_CORTEX_NEURON_DIFFERENTIATION.html","GOBP_CEREBRAL_CORTEX_NEURON_DIFFERENTIATION")</f>
        <v>GOBP_CEREBRAL_CORTEX_NEURON_DIFFERENTIATION</v>
      </c>
      <c r="C5314" s="4">
        <v>28</v>
      </c>
      <c r="D5314" s="3">
        <v>-1.0239339000000001</v>
      </c>
      <c r="E5314" s="1">
        <v>0.41959797999999998</v>
      </c>
      <c r="F5314" s="2">
        <v>0.65510683999999997</v>
      </c>
    </row>
    <row r="5315" spans="1:6" x14ac:dyDescent="0.25">
      <c r="A5315" t="s">
        <v>10</v>
      </c>
      <c r="B5315" s="5" t="str">
        <f>HYPERLINK("http://www.broadinstitute.org/gsea/msigdb/cards/REACTOME_MACROAUTOPHAGY.html","REACTOME_MACROAUTOPHAGY")</f>
        <v>REACTOME_MACROAUTOPHAGY</v>
      </c>
      <c r="C5315" s="4">
        <v>120</v>
      </c>
      <c r="D5315" s="3">
        <v>-1.0242959</v>
      </c>
      <c r="E5315" s="1">
        <v>0.37380192000000001</v>
      </c>
      <c r="F5315" s="2">
        <v>0.65448576000000003</v>
      </c>
    </row>
    <row r="5316" spans="1:6" x14ac:dyDescent="0.25">
      <c r="A5316" t="s">
        <v>6</v>
      </c>
      <c r="B5316" s="5" t="str">
        <f>HYPERLINK("http://www.broadinstitute.org/gsea/msigdb/cards/GOBP_CRANIAL_NERVE_DEVELOPMENT.html","GOBP_CRANIAL_NERVE_DEVELOPMENT")</f>
        <v>GOBP_CRANIAL_NERVE_DEVELOPMENT</v>
      </c>
      <c r="C5316" s="4">
        <v>57</v>
      </c>
      <c r="D5316" s="3">
        <v>-1.025085</v>
      </c>
      <c r="E5316" s="1">
        <v>0.40051680000000001</v>
      </c>
      <c r="F5316" s="2">
        <v>0.65263605000000002</v>
      </c>
    </row>
    <row r="5317" spans="1:6" x14ac:dyDescent="0.25">
      <c r="A5317" t="s">
        <v>6</v>
      </c>
      <c r="B5317" s="5" t="str">
        <f>HYPERLINK("http://www.broadinstitute.org/gsea/msigdb/cards/GOBP_GLYCINE_METABOLIC_PROCESS.html","GOBP_GLYCINE_METABOLIC_PROCESS")</f>
        <v>GOBP_GLYCINE_METABOLIC_PROCESS</v>
      </c>
      <c r="C5317" s="4">
        <v>15</v>
      </c>
      <c r="D5317" s="3">
        <v>-1.0255361000000001</v>
      </c>
      <c r="E5317" s="1">
        <v>0.42083332000000001</v>
      </c>
      <c r="F5317" s="2">
        <v>0.65180795999999996</v>
      </c>
    </row>
    <row r="5318" spans="1:6" x14ac:dyDescent="0.25">
      <c r="A5318" t="s">
        <v>6</v>
      </c>
      <c r="B5318" s="5" t="str">
        <f>HYPERLINK("http://www.broadinstitute.org/gsea/msigdb/cards/GOBP_RETROGRADE_AXONAL_TRANSPORT.html","GOBP_RETROGRADE_AXONAL_TRANSPORT")</f>
        <v>GOBP_RETROGRADE_AXONAL_TRANSPORT</v>
      </c>
      <c r="C5318" s="4">
        <v>24</v>
      </c>
      <c r="D5318" s="3">
        <v>-1.0255822000000001</v>
      </c>
      <c r="E5318" s="1">
        <v>0.41191709999999998</v>
      </c>
      <c r="F5318" s="2">
        <v>0.6521749</v>
      </c>
    </row>
    <row r="5319" spans="1:6" x14ac:dyDescent="0.25">
      <c r="A5319" t="s">
        <v>6</v>
      </c>
      <c r="B5319" s="5" t="str">
        <f>HYPERLINK("http://www.broadinstitute.org/gsea/msigdb/cards/GOBP_NEGATIVE_REGULATION_OF_MULTICELLULAR_ORGANISM_GROWTH.html","GOBP_NEGATIVE_REGULATION_OF_MULTICELLULAR_ORGANISM_GROWTH")</f>
        <v>GOBP_NEGATIVE_REGULATION_OF_MULTICELLULAR_ORGANISM_GROWTH</v>
      </c>
      <c r="C5319" s="4">
        <v>16</v>
      </c>
      <c r="D5319" s="3">
        <v>-1.0264249000000001</v>
      </c>
      <c r="E5319" s="1">
        <v>0.3778802</v>
      </c>
      <c r="F5319" s="2">
        <v>0.65020940000000005</v>
      </c>
    </row>
    <row r="5320" spans="1:6" x14ac:dyDescent="0.25">
      <c r="A5320" t="s">
        <v>6</v>
      </c>
      <c r="B5320" s="5" t="str">
        <f>HYPERLINK("http://www.broadinstitute.org/gsea/msigdb/cards/GOBP_DORSAL_SPINAL_CORD_DEVELOPMENT.html","GOBP_DORSAL_SPINAL_CORD_DEVELOPMENT")</f>
        <v>GOBP_DORSAL_SPINAL_CORD_DEVELOPMENT</v>
      </c>
      <c r="C5320" s="4">
        <v>20</v>
      </c>
      <c r="D5320" s="3">
        <v>-1.0269817000000001</v>
      </c>
      <c r="E5320" s="1">
        <v>0.41314553999999998</v>
      </c>
      <c r="F5320" s="2">
        <v>0.64900919999999995</v>
      </c>
    </row>
    <row r="5321" spans="1:6" x14ac:dyDescent="0.25">
      <c r="A5321" t="s">
        <v>6</v>
      </c>
      <c r="B5321" s="5" t="str">
        <f>HYPERLINK("http://www.broadinstitute.org/gsea/msigdb/cards/GOBP_REGULATION_OF_NMDA_RECEPTOR_ACTIVITY.html","GOBP_REGULATION_OF_NMDA_RECEPTOR_ACTIVITY")</f>
        <v>GOBP_REGULATION_OF_NMDA_RECEPTOR_ACTIVITY</v>
      </c>
      <c r="C5321" s="4">
        <v>27</v>
      </c>
      <c r="D5321" s="3">
        <v>-1.0273204</v>
      </c>
      <c r="E5321" s="1">
        <v>0.43099272</v>
      </c>
      <c r="F5321" s="2">
        <v>0.64849520000000005</v>
      </c>
    </row>
    <row r="5322" spans="1:6" x14ac:dyDescent="0.25">
      <c r="A5322" t="s">
        <v>10</v>
      </c>
      <c r="B5322" s="5" t="str">
        <f>HYPERLINK("http://www.broadinstitute.org/gsea/msigdb/cards/REACTOME_RHO_GTPASES_ACTIVATE_PAKS.html","REACTOME_RHO_GTPASES_ACTIVATE_PAKS")</f>
        <v>REACTOME_RHO_GTPASES_ACTIVATE_PAKS</v>
      </c>
      <c r="C5322" s="4">
        <v>22</v>
      </c>
      <c r="D5322" s="3">
        <v>-1.0278795000000001</v>
      </c>
      <c r="E5322" s="1">
        <v>0.40047959999999999</v>
      </c>
      <c r="F5322" s="2">
        <v>0.64730525000000005</v>
      </c>
    </row>
    <row r="5323" spans="1:6" x14ac:dyDescent="0.25">
      <c r="A5323" t="s">
        <v>8</v>
      </c>
      <c r="B5323" s="5" t="str">
        <f>HYPERLINK("http://www.broadinstitute.org/gsea/msigdb/cards/GOMF_ESTRADIOL_17_BETA_DEHYDROGENASE_NAD_P_ACTIVITY.html","GOMF_ESTRADIOL_17_BETA_DEHYDROGENASE_NAD_P_ACTIVITY")</f>
        <v>GOMF_ESTRADIOL_17_BETA_DEHYDROGENASE_NAD_P_ACTIVITY</v>
      </c>
      <c r="C5323" s="4">
        <v>16</v>
      </c>
      <c r="D5323" s="3">
        <v>-1.0279864999999999</v>
      </c>
      <c r="E5323" s="1">
        <v>0.42431194</v>
      </c>
      <c r="F5323" s="2">
        <v>0.64747447000000002</v>
      </c>
    </row>
    <row r="5324" spans="1:6" x14ac:dyDescent="0.25">
      <c r="A5324" t="s">
        <v>6</v>
      </c>
      <c r="B5324" s="5" t="str">
        <f>HYPERLINK("http://www.broadinstitute.org/gsea/msigdb/cards/GOBP_DNA_BIOSYNTHETIC_PROCESS.html","GOBP_DNA_BIOSYNTHETIC_PROCESS")</f>
        <v>GOBP_DNA_BIOSYNTHETIC_PROCESS</v>
      </c>
      <c r="C5324" s="4">
        <v>181</v>
      </c>
      <c r="D5324" s="3">
        <v>-1.0281092000000001</v>
      </c>
      <c r="E5324" s="1">
        <v>0.35830620000000002</v>
      </c>
      <c r="F5324" s="2">
        <v>0.64760523999999997</v>
      </c>
    </row>
    <row r="5325" spans="1:6" x14ac:dyDescent="0.25">
      <c r="A5325" t="s">
        <v>7</v>
      </c>
      <c r="B5325" s="5" t="str">
        <f>HYPERLINK("http://www.broadinstitute.org/gsea/msigdb/cards/GOCC_PRESYNAPTIC_ACTIVE_ZONE_MEMBRANE.html","GOCC_PRESYNAPTIC_ACTIVE_ZONE_MEMBRANE")</f>
        <v>GOCC_PRESYNAPTIC_ACTIVE_ZONE_MEMBRANE</v>
      </c>
      <c r="C5325" s="4">
        <v>66</v>
      </c>
      <c r="D5325" s="3">
        <v>-1.0285286</v>
      </c>
      <c r="E5325" s="1">
        <v>0.41736695000000001</v>
      </c>
      <c r="F5325" s="2">
        <v>0.64686840000000001</v>
      </c>
    </row>
    <row r="5326" spans="1:6" x14ac:dyDescent="0.25">
      <c r="A5326" t="s">
        <v>10</v>
      </c>
      <c r="B5326" s="5" t="str">
        <f>HYPERLINK("http://www.broadinstitute.org/gsea/msigdb/cards/REACTOME_SUMOYLATION_OF_TRANSCRIPTION_COFACTORS.html","REACTOME_SUMOYLATION_OF_TRANSCRIPTION_COFACTORS")</f>
        <v>REACTOME_SUMOYLATION_OF_TRANSCRIPTION_COFACTORS</v>
      </c>
      <c r="C5326" s="4">
        <v>38</v>
      </c>
      <c r="D5326" s="3">
        <v>-1.0286858000000001</v>
      </c>
      <c r="E5326" s="1">
        <v>0.40469973999999997</v>
      </c>
      <c r="F5326" s="2">
        <v>0.64692490000000002</v>
      </c>
    </row>
    <row r="5327" spans="1:6" x14ac:dyDescent="0.25">
      <c r="A5327" t="s">
        <v>6</v>
      </c>
      <c r="B5327" s="5" t="str">
        <f>HYPERLINK("http://www.broadinstitute.org/gsea/msigdb/cards/GOBP_NEGATIVE_REGULATION_OF_AMIDE_METABOLIC_PROCESS.html","GOBP_NEGATIVE_REGULATION_OF_AMIDE_METABOLIC_PROCESS")</f>
        <v>GOBP_NEGATIVE_REGULATION_OF_AMIDE_METABOLIC_PROCESS</v>
      </c>
      <c r="C5327" s="4">
        <v>212</v>
      </c>
      <c r="D5327" s="3">
        <v>-1.0289185000000001</v>
      </c>
      <c r="E5327" s="1">
        <v>0.35294120000000001</v>
      </c>
      <c r="F5327" s="2">
        <v>0.6467195</v>
      </c>
    </row>
    <row r="5328" spans="1:6" x14ac:dyDescent="0.25">
      <c r="A5328" t="s">
        <v>11</v>
      </c>
      <c r="B5328" s="5" t="str">
        <f>HYPERLINK("http://www.broadinstitute.org/gsea/msigdb/cards/WP_G1_TO_S_CELL_CYCLE_CONTROL.html","WP_G1_TO_S_CELL_CYCLE_CONTROL")</f>
        <v>WP_G1_TO_S_CELL_CYCLE_CONTROL</v>
      </c>
      <c r="C5328" s="4">
        <v>60</v>
      </c>
      <c r="D5328" s="3">
        <v>-1.0294162</v>
      </c>
      <c r="E5328" s="1">
        <v>0.37301588000000002</v>
      </c>
      <c r="F5328" s="2">
        <v>0.6457349</v>
      </c>
    </row>
    <row r="5329" spans="1:6" x14ac:dyDescent="0.25">
      <c r="A5329" t="s">
        <v>6</v>
      </c>
      <c r="B5329" s="5" t="str">
        <f>HYPERLINK("http://www.broadinstitute.org/gsea/msigdb/cards/GOBP_BRANCH_ELONGATION_OF_AN_EPITHELIUM.html","GOBP_BRANCH_ELONGATION_OF_AN_EPITHELIUM")</f>
        <v>GOBP_BRANCH_ELONGATION_OF_AN_EPITHELIUM</v>
      </c>
      <c r="C5329" s="4">
        <v>22</v>
      </c>
      <c r="D5329" s="3">
        <v>-1.0304450999999999</v>
      </c>
      <c r="E5329" s="1">
        <v>0.40515223</v>
      </c>
      <c r="F5329" s="2">
        <v>0.64322279999999998</v>
      </c>
    </row>
    <row r="5330" spans="1:6" x14ac:dyDescent="0.25">
      <c r="A5330" t="s">
        <v>6</v>
      </c>
      <c r="B5330" s="5" t="str">
        <f>HYPERLINK("http://www.broadinstitute.org/gsea/msigdb/cards/GOBP_ACETYL_COA_METABOLIC_PROCESS.html","GOBP_ACETYL_COA_METABOLIC_PROCESS")</f>
        <v>GOBP_ACETYL_COA_METABOLIC_PROCESS</v>
      </c>
      <c r="C5330" s="4">
        <v>35</v>
      </c>
      <c r="D5330" s="3">
        <v>-1.0308727</v>
      </c>
      <c r="E5330" s="1">
        <v>0.39130433999999997</v>
      </c>
      <c r="F5330" s="2">
        <v>0.64248203999999998</v>
      </c>
    </row>
    <row r="5331" spans="1:6" x14ac:dyDescent="0.25">
      <c r="A5331" t="s">
        <v>6</v>
      </c>
      <c r="B5331" s="5" t="str">
        <f>HYPERLINK("http://www.broadinstitute.org/gsea/msigdb/cards/GOBP_RESPONSE_TO_MUSCLE_ACTIVITY.html","GOBP_RESPONSE_TO_MUSCLE_ACTIVITY")</f>
        <v>GOBP_RESPONSE_TO_MUSCLE_ACTIVITY</v>
      </c>
      <c r="C5331" s="4">
        <v>15</v>
      </c>
      <c r="D5331" s="3">
        <v>-1.0315281999999999</v>
      </c>
      <c r="E5331" s="1">
        <v>0.41801387000000001</v>
      </c>
      <c r="F5331" s="2">
        <v>0.64106510000000005</v>
      </c>
    </row>
    <row r="5332" spans="1:6" x14ac:dyDescent="0.25">
      <c r="A5332" t="s">
        <v>7</v>
      </c>
      <c r="B5332" s="5" t="str">
        <f>HYPERLINK("http://www.broadinstitute.org/gsea/msigdb/cards/GOCC_MOTILE_CILIUM.html","GOCC_MOTILE_CILIUM")</f>
        <v>GOCC_MOTILE_CILIUM</v>
      </c>
      <c r="C5332" s="4">
        <v>273</v>
      </c>
      <c r="D5332" s="3">
        <v>-1.0320495000000001</v>
      </c>
      <c r="E5332" s="1">
        <v>0.31147540000000001</v>
      </c>
      <c r="F5332" s="2">
        <v>0.63999950000000005</v>
      </c>
    </row>
    <row r="5333" spans="1:6" x14ac:dyDescent="0.25">
      <c r="A5333" t="s">
        <v>8</v>
      </c>
      <c r="B5333" s="5" t="str">
        <f>HYPERLINK("http://www.broadinstitute.org/gsea/msigdb/cards/GOMF_GLUTATHIONE_PEROXIDASE_ACTIVITY.html","GOMF_GLUTATHIONE_PEROXIDASE_ACTIVITY")</f>
        <v>GOMF_GLUTATHIONE_PEROXIDASE_ACTIVITY</v>
      </c>
      <c r="C5333" s="4">
        <v>25</v>
      </c>
      <c r="D5333" s="3">
        <v>-1.0322822</v>
      </c>
      <c r="E5333" s="1">
        <v>0.42727273999999998</v>
      </c>
      <c r="F5333" s="2">
        <v>0.63980234000000002</v>
      </c>
    </row>
    <row r="5334" spans="1:6" x14ac:dyDescent="0.25">
      <c r="A5334" t="s">
        <v>6</v>
      </c>
      <c r="B5334" s="5" t="str">
        <f>HYPERLINK("http://www.broadinstitute.org/gsea/msigdb/cards/GOBP_DNA_STRAND_ELONGATION.html","GOBP_DNA_STRAND_ELONGATION")</f>
        <v>GOBP_DNA_STRAND_ELONGATION</v>
      </c>
      <c r="C5334" s="4">
        <v>36</v>
      </c>
      <c r="D5334" s="3">
        <v>-1.0322994000000001</v>
      </c>
      <c r="E5334" s="1">
        <v>0.41038960000000002</v>
      </c>
      <c r="F5334" s="2">
        <v>0.64025120000000002</v>
      </c>
    </row>
    <row r="5335" spans="1:6" x14ac:dyDescent="0.25">
      <c r="A5335" t="s">
        <v>6</v>
      </c>
      <c r="B5335" s="5" t="str">
        <f>HYPERLINK("http://www.broadinstitute.org/gsea/msigdb/cards/GOBP_PROGRAMMED_CELL_DEATH_IN_RESPONSE_TO_REACTIVE_OXYGEN_SPECIES.html","GOBP_PROGRAMMED_CELL_DEATH_IN_RESPONSE_TO_REACTIVE_OXYGEN_SPECIES")</f>
        <v>GOBP_PROGRAMMED_CELL_DEATH_IN_RESPONSE_TO_REACTIVE_OXYGEN_SPECIES</v>
      </c>
      <c r="C5335" s="4">
        <v>18</v>
      </c>
      <c r="D5335" s="3">
        <v>-1.0345435000000001</v>
      </c>
      <c r="E5335" s="1">
        <v>0.39702233999999997</v>
      </c>
      <c r="F5335" s="2">
        <v>0.63414530000000002</v>
      </c>
    </row>
    <row r="5336" spans="1:6" x14ac:dyDescent="0.25">
      <c r="A5336" t="s">
        <v>10</v>
      </c>
      <c r="B5336" s="5" t="str">
        <f>HYPERLINK("http://www.broadinstitute.org/gsea/msigdb/cards/REACTOME_TRANSLESION_SYNTHESIS_BY_POLH.html","REACTOME_TRANSLESION_SYNTHESIS_BY_POLH")</f>
        <v>REACTOME_TRANSLESION_SYNTHESIS_BY_POLH</v>
      </c>
      <c r="C5336" s="4">
        <v>18</v>
      </c>
      <c r="D5336" s="3">
        <v>-1.0348067999999999</v>
      </c>
      <c r="E5336" s="1">
        <v>0.39719626000000002</v>
      </c>
      <c r="F5336" s="2">
        <v>0.63387172999999997</v>
      </c>
    </row>
    <row r="5337" spans="1:6" x14ac:dyDescent="0.25">
      <c r="A5337" t="s">
        <v>10</v>
      </c>
      <c r="B5337" s="5" t="str">
        <f>HYPERLINK("http://www.broadinstitute.org/gsea/msigdb/cards/REACTOME_REGULATION_OF_PYRUVATE_DEHYDROGENASE_PDH_COMPLEX.html","REACTOME_REGULATION_OF_PYRUVATE_DEHYDROGENASE_PDH_COMPLEX")</f>
        <v>REACTOME_REGULATION_OF_PYRUVATE_DEHYDROGENASE_PDH_COMPLEX</v>
      </c>
      <c r="C5337" s="4">
        <v>15</v>
      </c>
      <c r="D5337" s="3">
        <v>-1.0349790999999999</v>
      </c>
      <c r="E5337" s="1">
        <v>0.39726028000000002</v>
      </c>
      <c r="F5337" s="2">
        <v>0.63387499999999997</v>
      </c>
    </row>
    <row r="5338" spans="1:6" x14ac:dyDescent="0.25">
      <c r="A5338" t="s">
        <v>6</v>
      </c>
      <c r="B5338" s="5" t="str">
        <f>HYPERLINK("http://www.broadinstitute.org/gsea/msigdb/cards/GOBP_POSITIVE_REGULATION_OF_CELL_CYCLE_PHASE_TRANSITION.html","GOBP_POSITIVE_REGULATION_OF_CELL_CYCLE_PHASE_TRANSITION")</f>
        <v>GOBP_POSITIVE_REGULATION_OF_CELL_CYCLE_PHASE_TRANSITION</v>
      </c>
      <c r="C5338" s="4">
        <v>116</v>
      </c>
      <c r="D5338" s="3">
        <v>-1.0351790999999999</v>
      </c>
      <c r="E5338" s="1">
        <v>0.37049179999999998</v>
      </c>
      <c r="F5338" s="2">
        <v>0.63379200000000002</v>
      </c>
    </row>
    <row r="5339" spans="1:6" x14ac:dyDescent="0.25">
      <c r="A5339" t="s">
        <v>6</v>
      </c>
      <c r="B5339" s="5" t="str">
        <f>HYPERLINK("http://www.broadinstitute.org/gsea/msigdb/cards/GOBP_REGULATION_OF_RYANODINE_SENSITIVE_CALCIUM_RELEASE_CHANNEL_ACTIVITY.html","GOBP_REGULATION_OF_RYANODINE_SENSITIVE_CALCIUM_RELEASE_CHANNEL_ACTIVITY")</f>
        <v>GOBP_REGULATION_OF_RYANODINE_SENSITIVE_CALCIUM_RELEASE_CHANNEL_ACTIVITY</v>
      </c>
      <c r="C5339" s="4">
        <v>20</v>
      </c>
      <c r="D5339" s="3">
        <v>-1.0354292</v>
      </c>
      <c r="E5339" s="1">
        <v>0.424821</v>
      </c>
      <c r="F5339" s="2">
        <v>0.63357600000000003</v>
      </c>
    </row>
    <row r="5340" spans="1:6" x14ac:dyDescent="0.25">
      <c r="A5340" t="s">
        <v>10</v>
      </c>
      <c r="B5340" s="5" t="str">
        <f>HYPERLINK("http://www.broadinstitute.org/gsea/msigdb/cards/REACTOME_TRISTETRAPROLIN_TTP_ZFP36_BINDS_AND_DESTABILIZES_MRNA.html","REACTOME_TRISTETRAPROLIN_TTP_ZFP36_BINDS_AND_DESTABILIZES_MRNA")</f>
        <v>REACTOME_TRISTETRAPROLIN_TTP_ZFP36_BINDS_AND_DESTABILIZES_MRNA</v>
      </c>
      <c r="C5340" s="4">
        <v>16</v>
      </c>
      <c r="D5340" s="3">
        <v>-1.0357592</v>
      </c>
      <c r="E5340" s="1">
        <v>0.4</v>
      </c>
      <c r="F5340" s="2">
        <v>0.63306680000000004</v>
      </c>
    </row>
    <row r="5341" spans="1:6" x14ac:dyDescent="0.25">
      <c r="A5341" t="s">
        <v>6</v>
      </c>
      <c r="B5341" s="5" t="str">
        <f>HYPERLINK("http://www.broadinstitute.org/gsea/msigdb/cards/GOBP_POSITIVE_REGULATION_OF_BONE_MINERALIZATION.html","GOBP_POSITIVE_REGULATION_OF_BONE_MINERALIZATION")</f>
        <v>GOBP_POSITIVE_REGULATION_OF_BONE_MINERALIZATION</v>
      </c>
      <c r="C5341" s="4">
        <v>47</v>
      </c>
      <c r="D5341" s="3">
        <v>-1.0365162999999999</v>
      </c>
      <c r="E5341" s="1">
        <v>0.38181818000000001</v>
      </c>
      <c r="F5341" s="2">
        <v>0.63126070000000001</v>
      </c>
    </row>
    <row r="5342" spans="1:6" x14ac:dyDescent="0.25">
      <c r="A5342" t="s">
        <v>6</v>
      </c>
      <c r="B5342" s="5" t="str">
        <f>HYPERLINK("http://www.broadinstitute.org/gsea/msigdb/cards/GOBP_STRIATED_MUSCLE_TISSUE_DEVELOPMENT.html","GOBP_STRIATED_MUSCLE_TISSUE_DEVELOPMENT")</f>
        <v>GOBP_STRIATED_MUSCLE_TISSUE_DEVELOPMENT</v>
      </c>
      <c r="C5342" s="4">
        <v>287</v>
      </c>
      <c r="D5342" s="3">
        <v>-1.0367521</v>
      </c>
      <c r="E5342" s="1">
        <v>0.34166667000000001</v>
      </c>
      <c r="F5342" s="2">
        <v>0.63111810000000002</v>
      </c>
    </row>
    <row r="5343" spans="1:6" x14ac:dyDescent="0.25">
      <c r="A5343" t="s">
        <v>10</v>
      </c>
      <c r="B5343" s="5" t="str">
        <f>HYPERLINK("http://www.broadinstitute.org/gsea/msigdb/cards/REACTOME_HDMS_DEMETHYLATE_HISTONES.html","REACTOME_HDMS_DEMETHYLATE_HISTONES")</f>
        <v>REACTOME_HDMS_DEMETHYLATE_HISTONES</v>
      </c>
      <c r="C5343" s="4">
        <v>46</v>
      </c>
      <c r="D5343" s="3">
        <v>-1.037131</v>
      </c>
      <c r="E5343" s="1">
        <v>0.35516372000000002</v>
      </c>
      <c r="F5343" s="2">
        <v>0.63053024000000002</v>
      </c>
    </row>
    <row r="5344" spans="1:6" x14ac:dyDescent="0.25">
      <c r="A5344" t="s">
        <v>10</v>
      </c>
      <c r="B5344" s="5" t="str">
        <f>HYPERLINK("http://www.broadinstitute.org/gsea/msigdb/cards/REACTOME_ACETYLCHOLINE_NEUROTRANSMITTER_RELEASE_CYCLE.html","REACTOME_ACETYLCHOLINE_NEUROTRANSMITTER_RELEASE_CYCLE")</f>
        <v>REACTOME_ACETYLCHOLINE_NEUROTRANSMITTER_RELEASE_CYCLE</v>
      </c>
      <c r="C5344" s="4">
        <v>17</v>
      </c>
      <c r="D5344" s="3">
        <v>-1.0372414999999999</v>
      </c>
      <c r="E5344" s="1">
        <v>0.40919040000000001</v>
      </c>
      <c r="F5344" s="2">
        <v>0.63069509999999995</v>
      </c>
    </row>
    <row r="5345" spans="1:6" x14ac:dyDescent="0.25">
      <c r="A5345" t="s">
        <v>6</v>
      </c>
      <c r="B5345" s="5" t="str">
        <f>HYPERLINK("http://www.broadinstitute.org/gsea/msigdb/cards/GOBP_PROTEIN_STABILIZATION.html","GOBP_PROTEIN_STABILIZATION")</f>
        <v>GOBP_PROTEIN_STABILIZATION</v>
      </c>
      <c r="C5345" s="4">
        <v>195</v>
      </c>
      <c r="D5345" s="3">
        <v>-1.0373129999999999</v>
      </c>
      <c r="E5345" s="1">
        <v>0.33802816000000002</v>
      </c>
      <c r="F5345" s="2">
        <v>0.63096920000000001</v>
      </c>
    </row>
    <row r="5346" spans="1:6" x14ac:dyDescent="0.25">
      <c r="A5346" t="s">
        <v>6</v>
      </c>
      <c r="B5346" s="5" t="str">
        <f>HYPERLINK("http://www.broadinstitute.org/gsea/msigdb/cards/GOBP_REGULATION_OF_DNA_DAMAGE_CHECKPOINT.html","GOBP_REGULATION_OF_DNA_DAMAGE_CHECKPOINT")</f>
        <v>GOBP_REGULATION_OF_DNA_DAMAGE_CHECKPOINT</v>
      </c>
      <c r="C5346" s="4">
        <v>24</v>
      </c>
      <c r="D5346" s="3">
        <v>-1.0375189</v>
      </c>
      <c r="E5346" s="1">
        <v>0.38228436999999998</v>
      </c>
      <c r="F5346" s="2">
        <v>0.63086830000000005</v>
      </c>
    </row>
    <row r="5347" spans="1:6" x14ac:dyDescent="0.25">
      <c r="A5347" t="s">
        <v>10</v>
      </c>
      <c r="B5347" s="5" t="str">
        <f>HYPERLINK("http://www.broadinstitute.org/gsea/msigdb/cards/REACTOME_KERATINIZATION.html","REACTOME_KERATINIZATION")</f>
        <v>REACTOME_KERATINIZATION</v>
      </c>
      <c r="C5347" s="4">
        <v>157</v>
      </c>
      <c r="D5347" s="3">
        <v>-1.0384895000000001</v>
      </c>
      <c r="E5347" s="1">
        <v>0.35806450000000001</v>
      </c>
      <c r="F5347" s="2">
        <v>0.62855506000000005</v>
      </c>
    </row>
    <row r="5348" spans="1:6" x14ac:dyDescent="0.25">
      <c r="A5348" t="s">
        <v>6</v>
      </c>
      <c r="B5348" s="5" t="str">
        <f>HYPERLINK("http://www.broadinstitute.org/gsea/msigdb/cards/GOBP_CARTILAGE_DEVELOPMENT.html","GOBP_CARTILAGE_DEVELOPMENT")</f>
        <v>GOBP_CARTILAGE_DEVELOPMENT</v>
      </c>
      <c r="C5348" s="4">
        <v>219</v>
      </c>
      <c r="D5348" s="3">
        <v>-1.0385838999999999</v>
      </c>
      <c r="E5348" s="1">
        <v>0.34843205999999999</v>
      </c>
      <c r="F5348" s="2">
        <v>0.6287893</v>
      </c>
    </row>
    <row r="5349" spans="1:6" x14ac:dyDescent="0.25">
      <c r="A5349" t="s">
        <v>6</v>
      </c>
      <c r="B5349" s="5" t="str">
        <f>HYPERLINK("http://www.broadinstitute.org/gsea/msigdb/cards/GOBP_RIBOSOMAL_LARGE_SUBUNIT_BIOGENESIS.html","GOBP_RIBOSOMAL_LARGE_SUBUNIT_BIOGENESIS")</f>
        <v>GOBP_RIBOSOMAL_LARGE_SUBUNIT_BIOGENESIS</v>
      </c>
      <c r="C5349" s="4">
        <v>72</v>
      </c>
      <c r="D5349" s="3">
        <v>-1.0386629999999999</v>
      </c>
      <c r="E5349" s="1">
        <v>0.38950276</v>
      </c>
      <c r="F5349" s="2">
        <v>0.62906735999999996</v>
      </c>
    </row>
    <row r="5350" spans="1:6" x14ac:dyDescent="0.25">
      <c r="A5350" t="s">
        <v>6</v>
      </c>
      <c r="B5350" s="5" t="str">
        <f>HYPERLINK("http://www.broadinstitute.org/gsea/msigdb/cards/GOBP_RHYTHMIC_PROCESS.html","GOBP_RHYTHMIC_PROCESS")</f>
        <v>GOBP_RHYTHMIC_PROCESS</v>
      </c>
      <c r="C5350" s="4">
        <v>307</v>
      </c>
      <c r="D5350" s="3">
        <v>-1.0388328</v>
      </c>
      <c r="E5350" s="1">
        <v>0.32142857000000002</v>
      </c>
      <c r="F5350" s="2">
        <v>0.62909040000000005</v>
      </c>
    </row>
    <row r="5351" spans="1:6" x14ac:dyDescent="0.25">
      <c r="A5351" t="s">
        <v>6</v>
      </c>
      <c r="B5351" s="5" t="str">
        <f>HYPERLINK("http://www.broadinstitute.org/gsea/msigdb/cards/GOBP_PIGMENT_BIOSYNTHETIC_PROCESS.html","GOBP_PIGMENT_BIOSYNTHETIC_PROCESS")</f>
        <v>GOBP_PIGMENT_BIOSYNTHETIC_PROCESS</v>
      </c>
      <c r="C5351" s="4">
        <v>52</v>
      </c>
      <c r="D5351" s="3">
        <v>-1.0388630000000001</v>
      </c>
      <c r="E5351" s="1">
        <v>0.40379405000000002</v>
      </c>
      <c r="F5351" s="2">
        <v>0.62950426000000004</v>
      </c>
    </row>
    <row r="5352" spans="1:6" x14ac:dyDescent="0.25">
      <c r="A5352" t="s">
        <v>8</v>
      </c>
      <c r="B5352" s="5" t="str">
        <f>HYPERLINK("http://www.broadinstitute.org/gsea/msigdb/cards/GOMF_CORE_PROMOTER_SEQUENCE_SPECIFIC_DNA_BINDING.html","GOMF_CORE_PROMOTER_SEQUENCE_SPECIFIC_DNA_BINDING")</f>
        <v>GOMF_CORE_PROMOTER_SEQUENCE_SPECIFIC_DNA_BINDING</v>
      </c>
      <c r="C5352" s="4">
        <v>49</v>
      </c>
      <c r="D5352" s="3">
        <v>-1.0393051</v>
      </c>
      <c r="E5352" s="1">
        <v>0.36631015</v>
      </c>
      <c r="F5352" s="2">
        <v>0.62871299999999997</v>
      </c>
    </row>
    <row r="5353" spans="1:6" x14ac:dyDescent="0.25">
      <c r="A5353" t="s">
        <v>6</v>
      </c>
      <c r="B5353" s="5" t="str">
        <f>HYPERLINK("http://www.broadinstitute.org/gsea/msigdb/cards/GOBP_POSITIVE_REGULATION_OF_G1_S_TRANSITION_OF_MITOTIC_CELL_CYCLE.html","GOBP_POSITIVE_REGULATION_OF_G1_S_TRANSITION_OF_MITOTIC_CELL_CYCLE")</f>
        <v>GOBP_POSITIVE_REGULATION_OF_G1_S_TRANSITION_OF_MITOTIC_CELL_CYCLE</v>
      </c>
      <c r="C5353" s="4">
        <v>45</v>
      </c>
      <c r="D5353" s="3">
        <v>-1.0397466</v>
      </c>
      <c r="E5353" s="1">
        <v>0.38107416</v>
      </c>
      <c r="F5353" s="2">
        <v>0.62791954999999999</v>
      </c>
    </row>
    <row r="5354" spans="1:6" x14ac:dyDescent="0.25">
      <c r="A5354" t="s">
        <v>6</v>
      </c>
      <c r="B5354" s="5" t="str">
        <f>HYPERLINK("http://www.broadinstitute.org/gsea/msigdb/cards/GOBP_TELOMERE_LOCALIZATION.html","GOBP_TELOMERE_LOCALIZATION")</f>
        <v>GOBP_TELOMERE_LOCALIZATION</v>
      </c>
      <c r="C5354" s="4">
        <v>15</v>
      </c>
      <c r="D5354" s="3">
        <v>-1.0406818</v>
      </c>
      <c r="E5354" s="1">
        <v>0.41876429999999998</v>
      </c>
      <c r="F5354" s="2">
        <v>0.62572324000000001</v>
      </c>
    </row>
    <row r="5355" spans="1:6" x14ac:dyDescent="0.25">
      <c r="A5355" t="s">
        <v>6</v>
      </c>
      <c r="B5355" s="5" t="str">
        <f>HYPERLINK("http://www.broadinstitute.org/gsea/msigdb/cards/GOBP_MATING_BEHAVIOR.html","GOBP_MATING_BEHAVIOR")</f>
        <v>GOBP_MATING_BEHAVIOR</v>
      </c>
      <c r="C5355" s="4">
        <v>46</v>
      </c>
      <c r="D5355" s="3">
        <v>-1.0408341000000001</v>
      </c>
      <c r="E5355" s="1">
        <v>0.39951575</v>
      </c>
      <c r="F5355" s="2">
        <v>0.62574934999999998</v>
      </c>
    </row>
    <row r="5356" spans="1:6" x14ac:dyDescent="0.25">
      <c r="A5356" t="s">
        <v>6</v>
      </c>
      <c r="B5356" s="5" t="str">
        <f>HYPERLINK("http://www.broadinstitute.org/gsea/msigdb/cards/GOBP_REGULATION_OF_LYASE_ACTIVITY.html","GOBP_REGULATION_OF_LYASE_ACTIVITY")</f>
        <v>GOBP_REGULATION_OF_LYASE_ACTIVITY</v>
      </c>
      <c r="C5356" s="4">
        <v>58</v>
      </c>
      <c r="D5356" s="3">
        <v>-1.0419579999999999</v>
      </c>
      <c r="E5356" s="1">
        <v>0.35858585999999998</v>
      </c>
      <c r="F5356" s="2">
        <v>0.62295054999999999</v>
      </c>
    </row>
    <row r="5357" spans="1:6" x14ac:dyDescent="0.25">
      <c r="A5357" t="s">
        <v>6</v>
      </c>
      <c r="B5357" s="5" t="str">
        <f>HYPERLINK("http://www.broadinstitute.org/gsea/msigdb/cards/GOBP_SODIUM_ION_EXPORT_ACROSS_PLASMA_MEMBRANE.html","GOBP_SODIUM_ION_EXPORT_ACROSS_PLASMA_MEMBRANE")</f>
        <v>GOBP_SODIUM_ION_EXPORT_ACROSS_PLASMA_MEMBRANE</v>
      </c>
      <c r="C5357" s="4">
        <v>15</v>
      </c>
      <c r="D5357" s="3">
        <v>-1.0432022999999999</v>
      </c>
      <c r="E5357" s="1">
        <v>0.39336494</v>
      </c>
      <c r="F5357" s="2">
        <v>0.6198439</v>
      </c>
    </row>
    <row r="5358" spans="1:6" x14ac:dyDescent="0.25">
      <c r="A5358" t="s">
        <v>6</v>
      </c>
      <c r="B5358" s="5" t="str">
        <f>HYPERLINK("http://www.broadinstitute.org/gsea/msigdb/cards/GOBP_CHONDROCYTE_PROLIFERATION.html","GOBP_CHONDROCYTE_PROLIFERATION")</f>
        <v>GOBP_CHONDROCYTE_PROLIFERATION</v>
      </c>
      <c r="C5358" s="4">
        <v>27</v>
      </c>
      <c r="D5358" s="3">
        <v>-1.0432234</v>
      </c>
      <c r="E5358" s="1">
        <v>0.38630807</v>
      </c>
      <c r="F5358" s="2">
        <v>0.62027823999999998</v>
      </c>
    </row>
    <row r="5359" spans="1:6" x14ac:dyDescent="0.25">
      <c r="A5359" t="s">
        <v>6</v>
      </c>
      <c r="B5359" s="5" t="str">
        <f>HYPERLINK("http://www.broadinstitute.org/gsea/msigdb/cards/GOBP_MATURATION_OF_5_8S_RRNA.html","GOBP_MATURATION_OF_5_8S_RRNA")</f>
        <v>GOBP_MATURATION_OF_5_8S_RRNA</v>
      </c>
      <c r="C5359" s="4">
        <v>35</v>
      </c>
      <c r="D5359" s="3">
        <v>-1.0433114999999999</v>
      </c>
      <c r="E5359" s="1">
        <v>0.37593985000000002</v>
      </c>
      <c r="F5359" s="2">
        <v>0.62051140000000005</v>
      </c>
    </row>
    <row r="5360" spans="1:6" x14ac:dyDescent="0.25">
      <c r="A5360" t="s">
        <v>6</v>
      </c>
      <c r="B5360" s="5" t="str">
        <f>HYPERLINK("http://www.broadinstitute.org/gsea/msigdb/cards/GOBP_REGULATION_OF_POSTSYNAPTIC_NEUROTRANSMITTER_RECEPTOR_ACTIVITY.html","GOBP_REGULATION_OF_POSTSYNAPTIC_NEUROTRANSMITTER_RECEPTOR_ACTIVITY")</f>
        <v>GOBP_REGULATION_OF_POSTSYNAPTIC_NEUROTRANSMITTER_RECEPTOR_ACTIVITY</v>
      </c>
      <c r="C5360" s="4">
        <v>18</v>
      </c>
      <c r="D5360" s="3">
        <v>-1.0435430000000001</v>
      </c>
      <c r="E5360" s="1">
        <v>0.38785046000000001</v>
      </c>
      <c r="F5360" s="2">
        <v>0.62034330000000004</v>
      </c>
    </row>
    <row r="5361" spans="1:6" x14ac:dyDescent="0.25">
      <c r="A5361" t="s">
        <v>7</v>
      </c>
      <c r="B5361" s="5" t="str">
        <f>HYPERLINK("http://www.broadinstitute.org/gsea/msigdb/cards/GOCC_SCHAFFER_COLLATERAL_CA1_SYNAPSE.html","GOCC_SCHAFFER_COLLATERAL_CA1_SYNAPSE")</f>
        <v>GOCC_SCHAFFER_COLLATERAL_CA1_SYNAPSE</v>
      </c>
      <c r="C5361" s="4">
        <v>143</v>
      </c>
      <c r="D5361" s="3">
        <v>-1.0444891000000001</v>
      </c>
      <c r="E5361" s="1">
        <v>0.34121620000000003</v>
      </c>
      <c r="F5361" s="2">
        <v>0.61808735000000004</v>
      </c>
    </row>
    <row r="5362" spans="1:6" x14ac:dyDescent="0.25">
      <c r="A5362" t="s">
        <v>6</v>
      </c>
      <c r="B5362" s="5" t="str">
        <f>HYPERLINK("http://www.broadinstitute.org/gsea/msigdb/cards/GOBP_POSITIVE_REGULATION_OF_POTASSIUM_ION_TRANSMEMBRANE_TRANSPORTER_ACTIVITY.html","GOBP_POSITIVE_REGULATION_OF_POTASSIUM_ION_TRANSMEMBRANE_TRANSPORTER_ACTIVITY")</f>
        <v>GOBP_POSITIVE_REGULATION_OF_POTASSIUM_ION_TRANSMEMBRANE_TRANSPORTER_ACTIVITY</v>
      </c>
      <c r="C5362" s="4">
        <v>27</v>
      </c>
      <c r="D5362" s="3">
        <v>-1.0445720999999999</v>
      </c>
      <c r="E5362" s="1">
        <v>0.37380952000000001</v>
      </c>
      <c r="F5362" s="2">
        <v>0.61831844000000002</v>
      </c>
    </row>
    <row r="5363" spans="1:6" x14ac:dyDescent="0.25">
      <c r="A5363" t="s">
        <v>6</v>
      </c>
      <c r="B5363" s="5" t="str">
        <f>HYPERLINK("http://www.broadinstitute.org/gsea/msigdb/cards/GOBP_CHAPERONE_COFACTOR_DEPENDENT_PROTEIN_REFOLDING.html","GOBP_CHAPERONE_COFACTOR_DEPENDENT_PROTEIN_REFOLDING")</f>
        <v>GOBP_CHAPERONE_COFACTOR_DEPENDENT_PROTEIN_REFOLDING</v>
      </c>
      <c r="C5363" s="4">
        <v>32</v>
      </c>
      <c r="D5363" s="3">
        <v>-1.0450581000000001</v>
      </c>
      <c r="E5363" s="1">
        <v>0.39210525000000002</v>
      </c>
      <c r="F5363" s="2">
        <v>0.61740879999999998</v>
      </c>
    </row>
    <row r="5364" spans="1:6" x14ac:dyDescent="0.25">
      <c r="A5364" t="s">
        <v>6</v>
      </c>
      <c r="B5364" s="5" t="str">
        <f>HYPERLINK("http://www.broadinstitute.org/gsea/msigdb/cards/GOBP_REGULATION_OF_CHROMATIN_ORGANIZATION.html","GOBP_REGULATION_OF_CHROMATIN_ORGANIZATION")</f>
        <v>GOBP_REGULATION_OF_CHROMATIN_ORGANIZATION</v>
      </c>
      <c r="C5364" s="4">
        <v>52</v>
      </c>
      <c r="D5364" s="3">
        <v>-1.0451680000000001</v>
      </c>
      <c r="E5364" s="1">
        <v>0.34036939999999999</v>
      </c>
      <c r="F5364" s="2">
        <v>0.61759496000000003</v>
      </c>
    </row>
    <row r="5365" spans="1:6" x14ac:dyDescent="0.25">
      <c r="A5365" t="s">
        <v>10</v>
      </c>
      <c r="B5365" s="5" t="str">
        <f>HYPERLINK("http://www.broadinstitute.org/gsea/msigdb/cards/REACTOME_REGULATION_OF_PLK1_ACTIVITY_AT_G2_M_TRANSITION.html","REACTOME_REGULATION_OF_PLK1_ACTIVITY_AT_G2_M_TRANSITION")</f>
        <v>REACTOME_REGULATION_OF_PLK1_ACTIVITY_AT_G2_M_TRANSITION</v>
      </c>
      <c r="C5365" s="4">
        <v>84</v>
      </c>
      <c r="D5365" s="3">
        <v>-1.0454432</v>
      </c>
      <c r="E5365" s="1">
        <v>0.33836860000000002</v>
      </c>
      <c r="F5365" s="2">
        <v>0.61729199999999995</v>
      </c>
    </row>
    <row r="5366" spans="1:6" x14ac:dyDescent="0.25">
      <c r="A5366" t="s">
        <v>6</v>
      </c>
      <c r="B5366" s="5" t="str">
        <f>HYPERLINK("http://www.broadinstitute.org/gsea/msigdb/cards/GOBP_GPI_ANCHOR_METABOLIC_PROCESS.html","GOBP_GPI_ANCHOR_METABOLIC_PROCESS")</f>
        <v>GOBP_GPI_ANCHOR_METABOLIC_PROCESS</v>
      </c>
      <c r="C5366" s="4">
        <v>35</v>
      </c>
      <c r="D5366" s="3">
        <v>-1.0456957</v>
      </c>
      <c r="E5366" s="1">
        <v>0.35696202999999999</v>
      </c>
      <c r="F5366" s="2">
        <v>0.617012</v>
      </c>
    </row>
    <row r="5367" spans="1:6" x14ac:dyDescent="0.25">
      <c r="A5367" t="s">
        <v>7</v>
      </c>
      <c r="B5367" s="5" t="str">
        <f>HYPERLINK("http://www.broadinstitute.org/gsea/msigdb/cards/GOCC_PRONUCLEUS.html","GOCC_PRONUCLEUS")</f>
        <v>GOCC_PRONUCLEUS</v>
      </c>
      <c r="C5367" s="4">
        <v>24</v>
      </c>
      <c r="D5367" s="3">
        <v>-1.0459099999999999</v>
      </c>
      <c r="E5367" s="1">
        <v>0.40617576</v>
      </c>
      <c r="F5367" s="2">
        <v>0.61687720000000001</v>
      </c>
    </row>
    <row r="5368" spans="1:6" x14ac:dyDescent="0.25">
      <c r="A5368" t="s">
        <v>5</v>
      </c>
      <c r="B5368" s="5" t="str">
        <f>HYPERLINK("http://www.broadinstitute.org/gsea/msigdb/cards/BIOCARTA_CSK_PATHWAY.html","BIOCARTA_CSK_PATHWAY")</f>
        <v>BIOCARTA_CSK_PATHWAY</v>
      </c>
      <c r="C5368" s="4">
        <v>16</v>
      </c>
      <c r="D5368" s="3">
        <v>-1.0460122999999999</v>
      </c>
      <c r="E5368" s="1">
        <v>0.39764705</v>
      </c>
      <c r="F5368" s="2">
        <v>0.61709153999999999</v>
      </c>
    </row>
    <row r="5369" spans="1:6" x14ac:dyDescent="0.25">
      <c r="A5369" t="s">
        <v>6</v>
      </c>
      <c r="B5369" s="5" t="str">
        <f>HYPERLINK("http://www.broadinstitute.org/gsea/msigdb/cards/GOBP_POSITIVE_REGULATION_OF_POTASSIUM_ION_TRANSPORT.html","GOBP_POSITIVE_REGULATION_OF_POTASSIUM_ION_TRANSPORT")</f>
        <v>GOBP_POSITIVE_REGULATION_OF_POTASSIUM_ION_TRANSPORT</v>
      </c>
      <c r="C5369" s="4">
        <v>52</v>
      </c>
      <c r="D5369" s="3">
        <v>-1.0461125</v>
      </c>
      <c r="E5369" s="1">
        <v>0.34398034</v>
      </c>
      <c r="F5369" s="2">
        <v>0.61730176000000003</v>
      </c>
    </row>
    <row r="5370" spans="1:6" x14ac:dyDescent="0.25">
      <c r="A5370" t="s">
        <v>8</v>
      </c>
      <c r="B5370" s="5" t="str">
        <f>HYPERLINK("http://www.broadinstitute.org/gsea/msigdb/cards/GOMF_NUCLEOSOMAL_DNA_BINDING.html","GOMF_NUCLEOSOMAL_DNA_BINDING")</f>
        <v>GOMF_NUCLEOSOMAL_DNA_BINDING</v>
      </c>
      <c r="C5370" s="4">
        <v>19</v>
      </c>
      <c r="D5370" s="3">
        <v>-1.0462343000000001</v>
      </c>
      <c r="E5370" s="1">
        <v>0.38139534000000003</v>
      </c>
      <c r="F5370" s="2">
        <v>0.61744100000000002</v>
      </c>
    </row>
    <row r="5371" spans="1:6" x14ac:dyDescent="0.25">
      <c r="A5371" t="s">
        <v>7</v>
      </c>
      <c r="B5371" s="5" t="str">
        <f>HYPERLINK("http://www.broadinstitute.org/gsea/msigdb/cards/GOCC_PROTON_TRANSPORTING_V_TYPE_ATPASE_COMPLEX.html","GOCC_PROTON_TRANSPORTING_V_TYPE_ATPASE_COMPLEX")</f>
        <v>GOCC_PROTON_TRANSPORTING_V_TYPE_ATPASE_COMPLEX</v>
      </c>
      <c r="C5371" s="4">
        <v>28</v>
      </c>
      <c r="D5371" s="3">
        <v>-1.0462560000000001</v>
      </c>
      <c r="E5371" s="1">
        <v>0.38118812000000002</v>
      </c>
      <c r="F5371" s="2">
        <v>0.61787380000000003</v>
      </c>
    </row>
    <row r="5372" spans="1:6" x14ac:dyDescent="0.25">
      <c r="A5372" t="s">
        <v>6</v>
      </c>
      <c r="B5372" s="5" t="str">
        <f>HYPERLINK("http://www.broadinstitute.org/gsea/msigdb/cards/GOBP_POSITIVE_REGULATION_BY_HOST_OF_VIRAL_TRANSCRIPTION.html","GOBP_POSITIVE_REGULATION_BY_HOST_OF_VIRAL_TRANSCRIPTION")</f>
        <v>GOBP_POSITIVE_REGULATION_BY_HOST_OF_VIRAL_TRANSCRIPTION</v>
      </c>
      <c r="C5372" s="4">
        <v>17</v>
      </c>
      <c r="D5372" s="3">
        <v>-1.0466610999999999</v>
      </c>
      <c r="E5372" s="1">
        <v>0.36323850000000002</v>
      </c>
      <c r="F5372" s="2">
        <v>0.61719184999999999</v>
      </c>
    </row>
    <row r="5373" spans="1:6" x14ac:dyDescent="0.25">
      <c r="A5373" t="s">
        <v>6</v>
      </c>
      <c r="B5373" s="5" t="str">
        <f>HYPERLINK("http://www.broadinstitute.org/gsea/msigdb/cards/GOBP_CARDIAC_VENTRICLE_MORPHOGENESIS.html","GOBP_CARDIAC_VENTRICLE_MORPHOGENESIS")</f>
        <v>GOBP_CARDIAC_VENTRICLE_MORPHOGENESIS</v>
      </c>
      <c r="C5373" s="4">
        <v>78</v>
      </c>
      <c r="D5373" s="3">
        <v>-1.0467582</v>
      </c>
      <c r="E5373" s="1">
        <v>0.36752138000000001</v>
      </c>
      <c r="F5373" s="2">
        <v>0.61739259999999996</v>
      </c>
    </row>
    <row r="5374" spans="1:6" x14ac:dyDescent="0.25">
      <c r="A5374" t="s">
        <v>8</v>
      </c>
      <c r="B5374" s="5" t="str">
        <f>HYPERLINK("http://www.broadinstitute.org/gsea/msigdb/cards/GOMF_BETA_CATENIN_BINDING.html","GOMF_BETA_CATENIN_BINDING")</f>
        <v>GOMF_BETA_CATENIN_BINDING</v>
      </c>
      <c r="C5374" s="4">
        <v>97</v>
      </c>
      <c r="D5374" s="3">
        <v>-1.0467894</v>
      </c>
      <c r="E5374" s="1">
        <v>0.32963988</v>
      </c>
      <c r="F5374" s="2">
        <v>0.61780029999999997</v>
      </c>
    </row>
    <row r="5375" spans="1:6" x14ac:dyDescent="0.25">
      <c r="A5375" t="s">
        <v>6</v>
      </c>
      <c r="B5375" s="5" t="str">
        <f>HYPERLINK("http://www.broadinstitute.org/gsea/msigdb/cards/GOBP_DE_NOVO_PROTEIN_FOLDING.html","GOBP_DE_NOVO_PROTEIN_FOLDING")</f>
        <v>GOBP_DE_NOVO_PROTEIN_FOLDING</v>
      </c>
      <c r="C5375" s="4">
        <v>38</v>
      </c>
      <c r="D5375" s="3">
        <v>-1.0469105999999999</v>
      </c>
      <c r="E5375" s="1">
        <v>0.38780487000000002</v>
      </c>
      <c r="F5375" s="2">
        <v>0.61790233999999999</v>
      </c>
    </row>
    <row r="5376" spans="1:6" x14ac:dyDescent="0.25">
      <c r="A5376" t="s">
        <v>8</v>
      </c>
      <c r="B5376" s="5" t="str">
        <f>HYPERLINK("http://www.broadinstitute.org/gsea/msigdb/cards/GOMF_STRUCTURAL_CONSTITUENT_OF_SKIN_EPIDERMIS.html","GOMF_STRUCTURAL_CONSTITUENT_OF_SKIN_EPIDERMIS")</f>
        <v>GOMF_STRUCTURAL_CONSTITUENT_OF_SKIN_EPIDERMIS</v>
      </c>
      <c r="C5376" s="4">
        <v>33</v>
      </c>
      <c r="D5376" s="3">
        <v>-1.0469120000000001</v>
      </c>
      <c r="E5376" s="1">
        <v>0.36855036000000002</v>
      </c>
      <c r="F5376" s="2">
        <v>0.61839270000000002</v>
      </c>
    </row>
    <row r="5377" spans="1:6" x14ac:dyDescent="0.25">
      <c r="A5377" t="s">
        <v>8</v>
      </c>
      <c r="B5377" s="5" t="str">
        <f>HYPERLINK("http://www.broadinstitute.org/gsea/msigdb/cards/GOMF_SNORNA_BINDING.html","GOMF_SNORNA_BINDING")</f>
        <v>GOMF_SNORNA_BINDING</v>
      </c>
      <c r="C5377" s="4">
        <v>31</v>
      </c>
      <c r="D5377" s="3">
        <v>-1.0475209000000001</v>
      </c>
      <c r="E5377" s="1">
        <v>0.38221154000000002</v>
      </c>
      <c r="F5377" s="2">
        <v>0.61715763999999995</v>
      </c>
    </row>
    <row r="5378" spans="1:6" x14ac:dyDescent="0.25">
      <c r="A5378" t="s">
        <v>8</v>
      </c>
      <c r="B5378" s="5" t="str">
        <f>HYPERLINK("http://www.broadinstitute.org/gsea/msigdb/cards/GOMF_NUCLEAR_RECEPTOR_COACTIVATOR_ACTIVITY.html","GOMF_NUCLEAR_RECEPTOR_COACTIVATOR_ACTIVITY")</f>
        <v>GOMF_NUCLEAR_RECEPTOR_COACTIVATOR_ACTIVITY</v>
      </c>
      <c r="C5378" s="4">
        <v>53</v>
      </c>
      <c r="D5378" s="3">
        <v>-1.0478489</v>
      </c>
      <c r="E5378" s="1">
        <v>0.38904899999999998</v>
      </c>
      <c r="F5378" s="2">
        <v>0.61671184999999995</v>
      </c>
    </row>
    <row r="5379" spans="1:6" x14ac:dyDescent="0.25">
      <c r="A5379" t="s">
        <v>7</v>
      </c>
      <c r="B5379" s="5" t="str">
        <f>HYPERLINK("http://www.broadinstitute.org/gsea/msigdb/cards/GOCC_CYCLIN_DEPENDENT_PROTEIN_KINASE_HOLOENZYME_COMPLEX.html","GOCC_CYCLIN_DEPENDENT_PROTEIN_KINASE_HOLOENZYME_COMPLEX")</f>
        <v>GOCC_CYCLIN_DEPENDENT_PROTEIN_KINASE_HOLOENZYME_COMPLEX</v>
      </c>
      <c r="C5379" s="4">
        <v>54</v>
      </c>
      <c r="D5379" s="3">
        <v>-1.0478921999999999</v>
      </c>
      <c r="E5379" s="1">
        <v>0.35770234000000001</v>
      </c>
      <c r="F5379" s="2">
        <v>0.6170909</v>
      </c>
    </row>
    <row r="5380" spans="1:6" x14ac:dyDescent="0.25">
      <c r="A5380" t="s">
        <v>6</v>
      </c>
      <c r="B5380" s="5" t="str">
        <f>HYPERLINK("http://www.broadinstitute.org/gsea/msigdb/cards/GOBP_FATTY_ACID_BIOSYNTHETIC_PROCESS.html","GOBP_FATTY_ACID_BIOSYNTHETIC_PROCESS")</f>
        <v>GOBP_FATTY_ACID_BIOSYNTHETIC_PROCESS</v>
      </c>
      <c r="C5380" s="4">
        <v>153</v>
      </c>
      <c r="D5380" s="3">
        <v>-1.0480320000000001</v>
      </c>
      <c r="E5380" s="1">
        <v>0.34169277999999997</v>
      </c>
      <c r="F5380" s="2">
        <v>0.61718892999999997</v>
      </c>
    </row>
    <row r="5381" spans="1:6" x14ac:dyDescent="0.25">
      <c r="A5381" t="s">
        <v>6</v>
      </c>
      <c r="B5381" s="5" t="str">
        <f>HYPERLINK("http://www.broadinstitute.org/gsea/msigdb/cards/GOBP_NEGATIVE_REGULATION_OF_MYOBLAST_DIFFERENTIATION.html","GOBP_NEGATIVE_REGULATION_OF_MYOBLAST_DIFFERENTIATION")</f>
        <v>GOBP_NEGATIVE_REGULATION_OF_MYOBLAST_DIFFERENTIATION</v>
      </c>
      <c r="C5381" s="4">
        <v>32</v>
      </c>
      <c r="D5381" s="3">
        <v>-1.0481533000000001</v>
      </c>
      <c r="E5381" s="1">
        <v>0.38250000000000001</v>
      </c>
      <c r="F5381" s="2">
        <v>0.61732160000000003</v>
      </c>
    </row>
    <row r="5382" spans="1:6" x14ac:dyDescent="0.25">
      <c r="A5382" t="s">
        <v>9</v>
      </c>
      <c r="B5382" s="5" t="str">
        <f>HYPERLINK("http://www.broadinstitute.org/gsea/msigdb/cards/HALLMARK_PANCREAS_BETA_CELLS.html","HALLMARK_PANCREAS_BETA_CELLS")</f>
        <v>HALLMARK_PANCREAS_BETA_CELLS</v>
      </c>
      <c r="C5382" s="4">
        <v>33</v>
      </c>
      <c r="D5382" s="3">
        <v>-1.0482212</v>
      </c>
      <c r="E5382" s="1">
        <v>0.39230769999999998</v>
      </c>
      <c r="F5382" s="2">
        <v>0.61762640000000002</v>
      </c>
    </row>
    <row r="5383" spans="1:6" x14ac:dyDescent="0.25">
      <c r="A5383" t="s">
        <v>6</v>
      </c>
      <c r="B5383" s="5" t="str">
        <f>HYPERLINK("http://www.broadinstitute.org/gsea/msigdb/cards/GOBP_REGULATION_OF_MITOCHONDRIAL_OUTER_MEMBRANE_PERMEABILIZATION_INVOLVED_IN_APOPTOTIC_SIGNALING_PATHWAY.html","GOBP_REGULATION_OF_MITOCHONDRIAL_OUTER_MEMBRANE_PERMEABILIZATION_INVOLVED_IN_APOPTOTIC_SIGNALING_PATHWAY")</f>
        <v>GOBP_REGULATION_OF_MITOCHONDRIAL_OUTER_MEMBRANE_PERMEABILIZATION_INVOLVED_IN_APOPTOTIC_SIGNALING_PATHWAY</v>
      </c>
      <c r="C5383" s="4">
        <v>24</v>
      </c>
      <c r="D5383" s="3">
        <v>-1.0490047</v>
      </c>
      <c r="E5383" s="1">
        <v>0.37383178</v>
      </c>
      <c r="F5383" s="2">
        <v>0.61587113000000004</v>
      </c>
    </row>
    <row r="5384" spans="1:6" x14ac:dyDescent="0.25">
      <c r="A5384" t="s">
        <v>10</v>
      </c>
      <c r="B5384" s="5" t="str">
        <f>HYPERLINK("http://www.broadinstitute.org/gsea/msigdb/cards/REACTOME_KINESINS.html","REACTOME_KINESINS")</f>
        <v>REACTOME_KINESINS</v>
      </c>
      <c r="C5384" s="4">
        <v>56</v>
      </c>
      <c r="D5384" s="3">
        <v>-1.0501670000000001</v>
      </c>
      <c r="E5384" s="1">
        <v>0.33333333999999998</v>
      </c>
      <c r="F5384" s="2">
        <v>0.61289070000000001</v>
      </c>
    </row>
    <row r="5385" spans="1:6" x14ac:dyDescent="0.25">
      <c r="A5385" t="s">
        <v>7</v>
      </c>
      <c r="B5385" s="5" t="str">
        <f>HYPERLINK("http://www.broadinstitute.org/gsea/msigdb/cards/GOCC_ESC_E_Z_COMPLEX.html","GOCC_ESC_E_Z_COMPLEX")</f>
        <v>GOCC_ESC_E_Z_COMPLEX</v>
      </c>
      <c r="C5385" s="4">
        <v>16</v>
      </c>
      <c r="D5385" s="3">
        <v>-1.0505977</v>
      </c>
      <c r="E5385" s="1">
        <v>0.3778802</v>
      </c>
      <c r="F5385" s="2">
        <v>0.61213019999999996</v>
      </c>
    </row>
    <row r="5386" spans="1:6" x14ac:dyDescent="0.25">
      <c r="A5386" t="s">
        <v>6</v>
      </c>
      <c r="B5386" s="5" t="str">
        <f>HYPERLINK("http://www.broadinstitute.org/gsea/msigdb/cards/GOBP_GLUCAN_BIOSYNTHETIC_PROCESS.html","GOBP_GLUCAN_BIOSYNTHETIC_PROCESS")</f>
        <v>GOBP_GLUCAN_BIOSYNTHETIC_PROCESS</v>
      </c>
      <c r="C5386" s="4">
        <v>45</v>
      </c>
      <c r="D5386" s="3">
        <v>-1.0509458</v>
      </c>
      <c r="E5386" s="1">
        <v>0.34895833999999998</v>
      </c>
      <c r="F5386" s="2">
        <v>0.61162629999999996</v>
      </c>
    </row>
    <row r="5387" spans="1:6" x14ac:dyDescent="0.25">
      <c r="A5387" t="s">
        <v>6</v>
      </c>
      <c r="B5387" s="5" t="str">
        <f>HYPERLINK("http://www.broadinstitute.org/gsea/msigdb/cards/GOBP_BIOLOGICAL_PHASE.html","GOBP_BIOLOGICAL_PHASE")</f>
        <v>GOBP_BIOLOGICAL_PHASE</v>
      </c>
      <c r="C5387" s="4">
        <v>48</v>
      </c>
      <c r="D5387" s="3">
        <v>-1.0509689</v>
      </c>
      <c r="E5387" s="1">
        <v>0.37894738</v>
      </c>
      <c r="F5387" s="2">
        <v>0.61205107000000003</v>
      </c>
    </row>
    <row r="5388" spans="1:6" x14ac:dyDescent="0.25">
      <c r="A5388" t="s">
        <v>6</v>
      </c>
      <c r="B5388" s="5" t="str">
        <f>HYPERLINK("http://www.broadinstitute.org/gsea/msigdb/cards/GOBP_NEURON_PROJECTION_EXTENSION.html","GOBP_NEURON_PROJECTION_EXTENSION")</f>
        <v>GOBP_NEURON_PROJECTION_EXTENSION</v>
      </c>
      <c r="C5388" s="4">
        <v>208</v>
      </c>
      <c r="D5388" s="3">
        <v>-1.0510980000000001</v>
      </c>
      <c r="E5388" s="1">
        <v>0.29889296999999998</v>
      </c>
      <c r="F5388" s="2">
        <v>0.61215319999999995</v>
      </c>
    </row>
    <row r="5389" spans="1:6" x14ac:dyDescent="0.25">
      <c r="A5389" t="s">
        <v>6</v>
      </c>
      <c r="B5389" s="5" t="str">
        <f>HYPERLINK("http://www.broadinstitute.org/gsea/msigdb/cards/GOBP_LOCOMOTORY_BEHAVIOR.html","GOBP_LOCOMOTORY_BEHAVIOR")</f>
        <v>GOBP_LOCOMOTORY_BEHAVIOR</v>
      </c>
      <c r="C5389" s="4">
        <v>265</v>
      </c>
      <c r="D5389" s="3">
        <v>-1.051607</v>
      </c>
      <c r="E5389" s="1">
        <v>0.30044841999999999</v>
      </c>
      <c r="F5389" s="2">
        <v>0.61115509999999995</v>
      </c>
    </row>
    <row r="5390" spans="1:6" x14ac:dyDescent="0.25">
      <c r="A5390" t="s">
        <v>6</v>
      </c>
      <c r="B5390" s="5" t="str">
        <f>HYPERLINK("http://www.broadinstitute.org/gsea/msigdb/cards/GOBP_CELLULAR_RESPONSE_TO_RADIATION.html","GOBP_CELLULAR_RESPONSE_TO_RADIATION")</f>
        <v>GOBP_CELLULAR_RESPONSE_TO_RADIATION</v>
      </c>
      <c r="C5390" s="4">
        <v>174</v>
      </c>
      <c r="D5390" s="3">
        <v>-1.0517888</v>
      </c>
      <c r="E5390" s="1">
        <v>0.31746033000000001</v>
      </c>
      <c r="F5390" s="2">
        <v>0.61113490000000004</v>
      </c>
    </row>
    <row r="5391" spans="1:6" x14ac:dyDescent="0.25">
      <c r="A5391" t="s">
        <v>6</v>
      </c>
      <c r="B5391" s="5" t="str">
        <f>HYPERLINK("http://www.broadinstitute.org/gsea/msigdb/cards/GOBP_SYNAPTIC_VESICLE_MATURATION.html","GOBP_SYNAPTIC_VESICLE_MATURATION")</f>
        <v>GOBP_SYNAPTIC_VESICLE_MATURATION</v>
      </c>
      <c r="C5391" s="4">
        <v>28</v>
      </c>
      <c r="D5391" s="3">
        <v>-1.0523254</v>
      </c>
      <c r="E5391" s="1">
        <v>0.37002342999999999</v>
      </c>
      <c r="F5391" s="2">
        <v>0.61001729999999998</v>
      </c>
    </row>
    <row r="5392" spans="1:6" x14ac:dyDescent="0.25">
      <c r="A5392" t="s">
        <v>6</v>
      </c>
      <c r="B5392" s="5" t="str">
        <f>HYPERLINK("http://www.broadinstitute.org/gsea/msigdb/cards/GOBP_PHOSPHOLIPID_EFFLUX.html","GOBP_PHOSPHOLIPID_EFFLUX")</f>
        <v>GOBP_PHOSPHOLIPID_EFFLUX</v>
      </c>
      <c r="C5392" s="4">
        <v>15</v>
      </c>
      <c r="D5392" s="3">
        <v>-1.0524640000000001</v>
      </c>
      <c r="E5392" s="1">
        <v>0.37241378000000003</v>
      </c>
      <c r="F5392" s="2">
        <v>0.61010810000000004</v>
      </c>
    </row>
    <row r="5393" spans="1:6" x14ac:dyDescent="0.25">
      <c r="A5393" t="s">
        <v>6</v>
      </c>
      <c r="B5393" s="5" t="str">
        <f>HYPERLINK("http://www.broadinstitute.org/gsea/msigdb/cards/GOBP_NEGATIVE_REGULATION_OF_BINDING.html","GOBP_NEGATIVE_REGULATION_OF_BINDING")</f>
        <v>GOBP_NEGATIVE_REGULATION_OF_BINDING</v>
      </c>
      <c r="C5393" s="4">
        <v>166</v>
      </c>
      <c r="D5393" s="3">
        <v>-1.0525001</v>
      </c>
      <c r="E5393" s="1">
        <v>0.30303029999999997</v>
      </c>
      <c r="F5393" s="2">
        <v>0.61049880000000001</v>
      </c>
    </row>
    <row r="5394" spans="1:6" x14ac:dyDescent="0.25">
      <c r="A5394" t="s">
        <v>6</v>
      </c>
      <c r="B5394" s="5" t="str">
        <f>HYPERLINK("http://www.broadinstitute.org/gsea/msigdb/cards/GOBP_ATRIAL_SEPTUM_MORPHOGENESIS.html","GOBP_ATRIAL_SEPTUM_MORPHOGENESIS")</f>
        <v>GOBP_ATRIAL_SEPTUM_MORPHOGENESIS</v>
      </c>
      <c r="C5394" s="4">
        <v>15</v>
      </c>
      <c r="D5394" s="3">
        <v>-1.0526005</v>
      </c>
      <c r="E5394" s="1">
        <v>0.41724939999999999</v>
      </c>
      <c r="F5394" s="2">
        <v>0.61071399999999998</v>
      </c>
    </row>
    <row r="5395" spans="1:6" x14ac:dyDescent="0.25">
      <c r="A5395" t="s">
        <v>6</v>
      </c>
      <c r="B5395" s="5" t="str">
        <f>HYPERLINK("http://www.broadinstitute.org/gsea/msigdb/cards/GOBP_DORSAL_VENTRAL_NEURAL_TUBE_PATTERNING.html","GOBP_DORSAL_VENTRAL_NEURAL_TUBE_PATTERNING")</f>
        <v>GOBP_DORSAL_VENTRAL_NEURAL_TUBE_PATTERNING</v>
      </c>
      <c r="C5395" s="4">
        <v>34</v>
      </c>
      <c r="D5395" s="3">
        <v>-1.0526192999999999</v>
      </c>
      <c r="E5395" s="1">
        <v>0.35805628</v>
      </c>
      <c r="F5395" s="2">
        <v>0.61115693999999998</v>
      </c>
    </row>
    <row r="5396" spans="1:6" x14ac:dyDescent="0.25">
      <c r="A5396" t="s">
        <v>6</v>
      </c>
      <c r="B5396" s="5" t="str">
        <f>HYPERLINK("http://www.broadinstitute.org/gsea/msigdb/cards/GOBP_PANCREAS_DEVELOPMENT.html","GOBP_PANCREAS_DEVELOPMENT")</f>
        <v>GOBP_PANCREAS_DEVELOPMENT</v>
      </c>
      <c r="C5396" s="4">
        <v>83</v>
      </c>
      <c r="D5396" s="3">
        <v>-1.0527787</v>
      </c>
      <c r="E5396" s="1">
        <v>0.320442</v>
      </c>
      <c r="F5396" s="2">
        <v>0.61119889999999999</v>
      </c>
    </row>
    <row r="5397" spans="1:6" x14ac:dyDescent="0.25">
      <c r="A5397" t="s">
        <v>6</v>
      </c>
      <c r="B5397" s="5" t="str">
        <f>HYPERLINK("http://www.broadinstitute.org/gsea/msigdb/cards/GOBP_RESPONSE_TO_NICOTINE.html","GOBP_RESPONSE_TO_NICOTINE")</f>
        <v>GOBP_RESPONSE_TO_NICOTINE</v>
      </c>
      <c r="C5397" s="4">
        <v>31</v>
      </c>
      <c r="D5397" s="3">
        <v>-1.0538670999999999</v>
      </c>
      <c r="E5397" s="1">
        <v>0.32929779999999997</v>
      </c>
      <c r="F5397" s="2">
        <v>0.60858780000000001</v>
      </c>
    </row>
    <row r="5398" spans="1:6" x14ac:dyDescent="0.25">
      <c r="A5398" t="s">
        <v>10</v>
      </c>
      <c r="B5398" s="5" t="str">
        <f>HYPERLINK("http://www.broadinstitute.org/gsea/msigdb/cards/REACTOME_SEPARATION_OF_SISTER_CHROMATIDS.html","REACTOME_SEPARATION_OF_SISTER_CHROMATIDS")</f>
        <v>REACTOME_SEPARATION_OF_SISTER_CHROMATIDS</v>
      </c>
      <c r="C5398" s="4">
        <v>184</v>
      </c>
      <c r="D5398" s="3">
        <v>-1.0542151</v>
      </c>
      <c r="E5398" s="1">
        <v>0.30322581999999998</v>
      </c>
      <c r="F5398" s="2">
        <v>0.6080565</v>
      </c>
    </row>
    <row r="5399" spans="1:6" x14ac:dyDescent="0.25">
      <c r="A5399" t="s">
        <v>6</v>
      </c>
      <c r="B5399" s="5" t="str">
        <f>HYPERLINK("http://www.broadinstitute.org/gsea/msigdb/cards/GOBP_POSITIVE_REGULATION_OF_HISTONE_METHYLATION.html","GOBP_POSITIVE_REGULATION_OF_HISTONE_METHYLATION")</f>
        <v>GOBP_POSITIVE_REGULATION_OF_HISTONE_METHYLATION</v>
      </c>
      <c r="C5399" s="4">
        <v>17</v>
      </c>
      <c r="D5399" s="3">
        <v>-1.054791</v>
      </c>
      <c r="E5399" s="1">
        <v>0.37170263999999997</v>
      </c>
      <c r="F5399" s="2">
        <v>0.60686359999999995</v>
      </c>
    </row>
    <row r="5400" spans="1:6" x14ac:dyDescent="0.25">
      <c r="A5400" t="s">
        <v>10</v>
      </c>
      <c r="B5400" s="5" t="str">
        <f>HYPERLINK("http://www.broadinstitute.org/gsea/msigdb/cards/REACTOME_MITOCHONDRIAL_CALCIUM_ION_TRANSPORT.html","REACTOME_MITOCHONDRIAL_CALCIUM_ION_TRANSPORT")</f>
        <v>REACTOME_MITOCHONDRIAL_CALCIUM_ION_TRANSPORT</v>
      </c>
      <c r="C5400" s="4">
        <v>17</v>
      </c>
      <c r="D5400" s="3">
        <v>-1.0550269000000001</v>
      </c>
      <c r="E5400" s="1">
        <v>0.3552941</v>
      </c>
      <c r="F5400" s="2">
        <v>0.60666852999999998</v>
      </c>
    </row>
    <row r="5401" spans="1:6" x14ac:dyDescent="0.25">
      <c r="A5401" t="s">
        <v>6</v>
      </c>
      <c r="B5401" s="5" t="str">
        <f>HYPERLINK("http://www.broadinstitute.org/gsea/msigdb/cards/GOBP_MALE_GENITALIA_DEVELOPMENT.html","GOBP_MALE_GENITALIA_DEVELOPMENT")</f>
        <v>GOBP_MALE_GENITALIA_DEVELOPMENT</v>
      </c>
      <c r="C5401" s="4">
        <v>21</v>
      </c>
      <c r="D5401" s="3">
        <v>-1.0552424</v>
      </c>
      <c r="E5401" s="1">
        <v>0.37995338000000001</v>
      </c>
      <c r="F5401" s="2">
        <v>0.60655440000000005</v>
      </c>
    </row>
    <row r="5402" spans="1:6" x14ac:dyDescent="0.25">
      <c r="A5402" t="s">
        <v>6</v>
      </c>
      <c r="B5402" s="5" t="str">
        <f>HYPERLINK("http://www.broadinstitute.org/gsea/msigdb/cards/GOBP_REGULATION_OF_MICROTUBULE_POLYMERIZATION_OR_DEPOLYMERIZATION.html","GOBP_REGULATION_OF_MICROTUBULE_POLYMERIZATION_OR_DEPOLYMERIZATION")</f>
        <v>GOBP_REGULATION_OF_MICROTUBULE_POLYMERIZATION_OR_DEPOLYMERIZATION</v>
      </c>
      <c r="C5402" s="4">
        <v>92</v>
      </c>
      <c r="D5402" s="3">
        <v>-1.0559516</v>
      </c>
      <c r="E5402" s="1">
        <v>0.31378299999999998</v>
      </c>
      <c r="F5402" s="2">
        <v>0.60501439999999995</v>
      </c>
    </row>
    <row r="5403" spans="1:6" x14ac:dyDescent="0.25">
      <c r="A5403" t="s">
        <v>6</v>
      </c>
      <c r="B5403" s="5" t="str">
        <f>HYPERLINK("http://www.broadinstitute.org/gsea/msigdb/cards/GOBP_NON_MEMBRANE_BOUNDED_ORGANELLE_ASSEMBLY.html","GOBP_NON_MEMBRANE_BOUNDED_ORGANELLE_ASSEMBLY")</f>
        <v>GOBP_NON_MEMBRANE_BOUNDED_ORGANELLE_ASSEMBLY</v>
      </c>
      <c r="C5403" s="4">
        <v>396</v>
      </c>
      <c r="D5403" s="3">
        <v>-1.0560361</v>
      </c>
      <c r="E5403" s="1">
        <v>0.18719210999999999</v>
      </c>
      <c r="F5403" s="2">
        <v>0.60529052999999999</v>
      </c>
    </row>
    <row r="5404" spans="1:6" x14ac:dyDescent="0.25">
      <c r="A5404" t="s">
        <v>6</v>
      </c>
      <c r="B5404" s="5" t="str">
        <f>HYPERLINK("http://www.broadinstitute.org/gsea/msigdb/cards/GOBP_HOMOLOGOUS_RECOMBINATION.html","GOBP_HOMOLOGOUS_RECOMBINATION")</f>
        <v>GOBP_HOMOLOGOUS_RECOMBINATION</v>
      </c>
      <c r="C5404" s="4">
        <v>62</v>
      </c>
      <c r="D5404" s="3">
        <v>-1.0563</v>
      </c>
      <c r="E5404" s="1">
        <v>0.35128206000000001</v>
      </c>
      <c r="F5404" s="2">
        <v>0.60503739999999995</v>
      </c>
    </row>
    <row r="5405" spans="1:6" x14ac:dyDescent="0.25">
      <c r="A5405" t="s">
        <v>6</v>
      </c>
      <c r="B5405" s="5" t="str">
        <f>HYPERLINK("http://www.broadinstitute.org/gsea/msigdb/cards/GOBP_NEGATIVE_REGULATION_OF_PROTEASOMAL_UBIQUITIN_DEPENDENT_PROTEIN_CATABOLIC_PROCESS.html","GOBP_NEGATIVE_REGULATION_OF_PROTEASOMAL_UBIQUITIN_DEPENDENT_PROTEIN_CATABOLIC_PROCESS")</f>
        <v>GOBP_NEGATIVE_REGULATION_OF_PROTEASOMAL_UBIQUITIN_DEPENDENT_PROTEIN_CATABOLIC_PROCESS</v>
      </c>
      <c r="C5405" s="4">
        <v>39</v>
      </c>
      <c r="D5405" s="3">
        <v>-1.0567944</v>
      </c>
      <c r="E5405" s="1">
        <v>0.35949366999999999</v>
      </c>
      <c r="F5405" s="2">
        <v>0.60406769999999999</v>
      </c>
    </row>
    <row r="5406" spans="1:6" x14ac:dyDescent="0.25">
      <c r="A5406" t="s">
        <v>10</v>
      </c>
      <c r="B5406" s="5" t="str">
        <f>HYPERLINK("http://www.broadinstitute.org/gsea/msigdb/cards/REACTOME_GLOBAL_GENOME_NUCLEOTIDE_EXCISION_REPAIR_GG_NER.html","REACTOME_GLOBAL_GENOME_NUCLEOTIDE_EXCISION_REPAIR_GG_NER")</f>
        <v>REACTOME_GLOBAL_GENOME_NUCLEOTIDE_EXCISION_REPAIR_GG_NER</v>
      </c>
      <c r="C5406" s="4">
        <v>80</v>
      </c>
      <c r="D5406" s="3">
        <v>-1.0586333000000001</v>
      </c>
      <c r="E5406" s="1">
        <v>0.32777777000000002</v>
      </c>
      <c r="F5406" s="2">
        <v>0.59917679999999995</v>
      </c>
    </row>
    <row r="5407" spans="1:6" x14ac:dyDescent="0.25">
      <c r="A5407" t="s">
        <v>6</v>
      </c>
      <c r="B5407" s="5" t="str">
        <f>HYPERLINK("http://www.broadinstitute.org/gsea/msigdb/cards/GOBP_NEPHRON_EPITHELIUM_DEVELOPMENT.html","GOBP_NEPHRON_EPITHELIUM_DEVELOPMENT")</f>
        <v>GOBP_NEPHRON_EPITHELIUM_DEVELOPMENT</v>
      </c>
      <c r="C5407" s="4">
        <v>116</v>
      </c>
      <c r="D5407" s="3">
        <v>-1.0589502</v>
      </c>
      <c r="E5407" s="1">
        <v>0.27245510000000001</v>
      </c>
      <c r="F5407" s="2">
        <v>0.59874784999999997</v>
      </c>
    </row>
    <row r="5408" spans="1:6" x14ac:dyDescent="0.25">
      <c r="A5408" t="s">
        <v>6</v>
      </c>
      <c r="B5408" s="5" t="str">
        <f>HYPERLINK("http://www.broadinstitute.org/gsea/msigdb/cards/GOBP_MIRNA_PROCESSING.html","GOBP_MIRNA_PROCESSING")</f>
        <v>GOBP_MIRNA_PROCESSING</v>
      </c>
      <c r="C5408" s="4">
        <v>45</v>
      </c>
      <c r="D5408" s="3">
        <v>-1.0596417</v>
      </c>
      <c r="E5408" s="1">
        <v>0.32978721999999999</v>
      </c>
      <c r="F5408" s="2">
        <v>0.59724509999999997</v>
      </c>
    </row>
    <row r="5409" spans="1:6" x14ac:dyDescent="0.25">
      <c r="A5409" t="s">
        <v>6</v>
      </c>
      <c r="B5409" s="5" t="str">
        <f>HYPERLINK("http://www.broadinstitute.org/gsea/msigdb/cards/GOBP_CARDIAC_MYOFIBRIL_ASSEMBLY.html","GOBP_CARDIAC_MYOFIBRIL_ASSEMBLY")</f>
        <v>GOBP_CARDIAC_MYOFIBRIL_ASSEMBLY</v>
      </c>
      <c r="C5409" s="4">
        <v>18</v>
      </c>
      <c r="D5409" s="3">
        <v>-1.0599909999999999</v>
      </c>
      <c r="E5409" s="1">
        <v>0.35922330000000002</v>
      </c>
      <c r="F5409" s="2">
        <v>0.59675144999999996</v>
      </c>
    </row>
    <row r="5410" spans="1:6" x14ac:dyDescent="0.25">
      <c r="A5410" t="s">
        <v>6</v>
      </c>
      <c r="B5410" s="5" t="str">
        <f>HYPERLINK("http://www.broadinstitute.org/gsea/msigdb/cards/GOBP_NEGATIVE_REGULATION_OF_GLYCOLYTIC_PROCESS.html","GOBP_NEGATIVE_REGULATION_OF_GLYCOLYTIC_PROCESS")</f>
        <v>GOBP_NEGATIVE_REGULATION_OF_GLYCOLYTIC_PROCESS</v>
      </c>
      <c r="C5410" s="4">
        <v>22</v>
      </c>
      <c r="D5410" s="3">
        <v>-1.0618183999999999</v>
      </c>
      <c r="E5410" s="1">
        <v>0.33809525000000001</v>
      </c>
      <c r="F5410" s="2">
        <v>0.59197736000000001</v>
      </c>
    </row>
    <row r="5411" spans="1:6" x14ac:dyDescent="0.25">
      <c r="A5411" t="s">
        <v>6</v>
      </c>
      <c r="B5411" s="5" t="str">
        <f>HYPERLINK("http://www.broadinstitute.org/gsea/msigdb/cards/GOBP_HINDBRAIN_MORPHOGENESIS.html","GOBP_HINDBRAIN_MORPHOGENESIS")</f>
        <v>GOBP_HINDBRAIN_MORPHOGENESIS</v>
      </c>
      <c r="C5411" s="4">
        <v>61</v>
      </c>
      <c r="D5411" s="3">
        <v>-1.0619215</v>
      </c>
      <c r="E5411" s="1">
        <v>0.30232557999999998</v>
      </c>
      <c r="F5411" s="2">
        <v>0.59218079999999995</v>
      </c>
    </row>
    <row r="5412" spans="1:6" x14ac:dyDescent="0.25">
      <c r="A5412" t="s">
        <v>5</v>
      </c>
      <c r="B5412" s="5" t="str">
        <f>HYPERLINK("http://www.broadinstitute.org/gsea/msigdb/cards/BIOCARTA_CK1_PATHWAY.html","BIOCARTA_CK1_PATHWAY")</f>
        <v>BIOCARTA_CK1_PATHWAY</v>
      </c>
      <c r="C5412" s="4">
        <v>15</v>
      </c>
      <c r="D5412" s="3">
        <v>-1.0620115999999999</v>
      </c>
      <c r="E5412" s="1">
        <v>0.37444934000000002</v>
      </c>
      <c r="F5412" s="2">
        <v>0.59242695999999995</v>
      </c>
    </row>
    <row r="5413" spans="1:6" x14ac:dyDescent="0.25">
      <c r="A5413" t="s">
        <v>6</v>
      </c>
      <c r="B5413" s="5" t="str">
        <f>HYPERLINK("http://www.broadinstitute.org/gsea/msigdb/cards/GOBP_HEART_PROCESS.html","GOBP_HEART_PROCESS")</f>
        <v>GOBP_HEART_PROCESS</v>
      </c>
      <c r="C5413" s="4">
        <v>244</v>
      </c>
      <c r="D5413" s="3">
        <v>-1.0621904</v>
      </c>
      <c r="E5413" s="1">
        <v>0.26190478</v>
      </c>
      <c r="F5413" s="2">
        <v>0.59237059999999997</v>
      </c>
    </row>
    <row r="5414" spans="1:6" x14ac:dyDescent="0.25">
      <c r="A5414" t="s">
        <v>6</v>
      </c>
      <c r="B5414" s="5" t="str">
        <f>HYPERLINK("http://www.broadinstitute.org/gsea/msigdb/cards/GOBP_RENAL_TUBULE_DEVELOPMENT.html","GOBP_RENAL_TUBULE_DEVELOPMENT")</f>
        <v>GOBP_RENAL_TUBULE_DEVELOPMENT</v>
      </c>
      <c r="C5414" s="4">
        <v>109</v>
      </c>
      <c r="D5414" s="3">
        <v>-1.0625104999999999</v>
      </c>
      <c r="E5414" s="1">
        <v>0.29429430000000001</v>
      </c>
      <c r="F5414" s="2">
        <v>0.59195019999999998</v>
      </c>
    </row>
    <row r="5415" spans="1:6" x14ac:dyDescent="0.25">
      <c r="A5415" t="s">
        <v>5</v>
      </c>
      <c r="B5415" s="5" t="str">
        <f>HYPERLINK("http://www.broadinstitute.org/gsea/msigdb/cards/BIOCARTA_NFAT_PATHWAY.html","BIOCARTA_NFAT_PATHWAY")</f>
        <v>BIOCARTA_NFAT_PATHWAY</v>
      </c>
      <c r="C5415" s="4">
        <v>46</v>
      </c>
      <c r="D5415" s="3">
        <v>-1.0626367000000001</v>
      </c>
      <c r="E5415" s="1">
        <v>0.33333333999999998</v>
      </c>
      <c r="F5415" s="2">
        <v>0.59207993999999997</v>
      </c>
    </row>
    <row r="5416" spans="1:6" x14ac:dyDescent="0.25">
      <c r="A5416" t="s">
        <v>8</v>
      </c>
      <c r="B5416" s="5" t="str">
        <f>HYPERLINK("http://www.broadinstitute.org/gsea/msigdb/cards/GOMF_UBIQUITINATION_LIKE_MODIFICATION_DEPENDENT_PROTEIN_BINDING.html","GOMF_UBIQUITINATION_LIKE_MODIFICATION_DEPENDENT_PROTEIN_BINDING")</f>
        <v>GOMF_UBIQUITINATION_LIKE_MODIFICATION_DEPENDENT_PROTEIN_BINDING</v>
      </c>
      <c r="C5416" s="4">
        <v>21</v>
      </c>
      <c r="D5416" s="3">
        <v>-1.0628960000000001</v>
      </c>
      <c r="E5416" s="1">
        <v>0.38072287999999999</v>
      </c>
      <c r="F5416" s="2">
        <v>0.59185670000000001</v>
      </c>
    </row>
    <row r="5417" spans="1:6" x14ac:dyDescent="0.25">
      <c r="A5417" t="s">
        <v>8</v>
      </c>
      <c r="B5417" s="5" t="str">
        <f>HYPERLINK("http://www.broadinstitute.org/gsea/msigdb/cards/GOMF_GENERAL_TRANSCRIPTION_INITIATION_FACTOR_BINDING.html","GOMF_GENERAL_TRANSCRIPTION_INITIATION_FACTOR_BINDING")</f>
        <v>GOMF_GENERAL_TRANSCRIPTION_INITIATION_FACTOR_BINDING</v>
      </c>
      <c r="C5417" s="4">
        <v>61</v>
      </c>
      <c r="D5417" s="3">
        <v>-1.0636132</v>
      </c>
      <c r="E5417" s="1">
        <v>0.31420764000000001</v>
      </c>
      <c r="F5417" s="2">
        <v>0.59032790000000002</v>
      </c>
    </row>
    <row r="5418" spans="1:6" x14ac:dyDescent="0.25">
      <c r="A5418" t="s">
        <v>6</v>
      </c>
      <c r="B5418" s="5" t="str">
        <f>HYPERLINK("http://www.broadinstitute.org/gsea/msigdb/cards/GOBP_MEMBRANE_DEPOLARIZATION_DURING_ACTION_POTENTIAL.html","GOBP_MEMBRANE_DEPOLARIZATION_DURING_ACTION_POTENTIAL")</f>
        <v>GOBP_MEMBRANE_DEPOLARIZATION_DURING_ACTION_POTENTIAL</v>
      </c>
      <c r="C5418" s="4">
        <v>31</v>
      </c>
      <c r="D5418" s="3">
        <v>-1.0640604</v>
      </c>
      <c r="E5418" s="1">
        <v>0.35135135000000001</v>
      </c>
      <c r="F5418" s="2">
        <v>0.58948780000000001</v>
      </c>
    </row>
    <row r="5419" spans="1:6" x14ac:dyDescent="0.25">
      <c r="A5419" t="s">
        <v>6</v>
      </c>
      <c r="B5419" s="5" t="str">
        <f>HYPERLINK("http://www.broadinstitute.org/gsea/msigdb/cards/GOBP_CEREBELLAR_CORTEX_DEVELOPMENT.html","GOBP_CEREBELLAR_CORTEX_DEVELOPMENT")</f>
        <v>GOBP_CEREBELLAR_CORTEX_DEVELOPMENT</v>
      </c>
      <c r="C5419" s="4">
        <v>69</v>
      </c>
      <c r="D5419" s="3">
        <v>-1.0642881</v>
      </c>
      <c r="E5419" s="1">
        <v>0.32602740000000002</v>
      </c>
      <c r="F5419" s="2">
        <v>0.58932819999999997</v>
      </c>
    </row>
    <row r="5420" spans="1:6" x14ac:dyDescent="0.25">
      <c r="A5420" t="s">
        <v>8</v>
      </c>
      <c r="B5420" s="5" t="str">
        <f>HYPERLINK("http://www.broadinstitute.org/gsea/msigdb/cards/GOMF_NUCLEAR_RECEPTOR_BINDING.html","GOMF_NUCLEAR_RECEPTOR_BINDING")</f>
        <v>GOMF_NUCLEAR_RECEPTOR_BINDING</v>
      </c>
      <c r="C5420" s="4">
        <v>154</v>
      </c>
      <c r="D5420" s="3">
        <v>-1.0645365</v>
      </c>
      <c r="E5420" s="1">
        <v>0.32615383999999997</v>
      </c>
      <c r="F5420" s="2">
        <v>0.58912664999999997</v>
      </c>
    </row>
    <row r="5421" spans="1:6" x14ac:dyDescent="0.25">
      <c r="A5421" t="s">
        <v>6</v>
      </c>
      <c r="B5421" s="5" t="str">
        <f>HYPERLINK("http://www.broadinstitute.org/gsea/msigdb/cards/GOBP_RRNA_METHYLATION.html","GOBP_RRNA_METHYLATION")</f>
        <v>GOBP_RRNA_METHYLATION</v>
      </c>
      <c r="C5421" s="4">
        <v>19</v>
      </c>
      <c r="D5421" s="3">
        <v>-1.0656327000000001</v>
      </c>
      <c r="E5421" s="1">
        <v>0.34117648</v>
      </c>
      <c r="F5421" s="2">
        <v>0.58650195999999999</v>
      </c>
    </row>
    <row r="5422" spans="1:6" x14ac:dyDescent="0.25">
      <c r="A5422" t="s">
        <v>6</v>
      </c>
      <c r="B5422" s="5" t="str">
        <f>HYPERLINK("http://www.broadinstitute.org/gsea/msigdb/cards/GOBP_REGULATION_OF_MYOTUBE_DIFFERENTIATION.html","GOBP_REGULATION_OF_MYOTUBE_DIFFERENTIATION")</f>
        <v>GOBP_REGULATION_OF_MYOTUBE_DIFFERENTIATION</v>
      </c>
      <c r="C5422" s="4">
        <v>45</v>
      </c>
      <c r="D5422" s="3">
        <v>-1.0656711999999999</v>
      </c>
      <c r="E5422" s="1">
        <v>0.34831459999999997</v>
      </c>
      <c r="F5422" s="2">
        <v>0.58688549999999995</v>
      </c>
    </row>
    <row r="5423" spans="1:6" x14ac:dyDescent="0.25">
      <c r="A5423" t="s">
        <v>7</v>
      </c>
      <c r="B5423" s="5" t="str">
        <f>HYPERLINK("http://www.broadinstitute.org/gsea/msigdb/cards/GOCC_CUL2_RING_UBIQUITIN_LIGASE_COMPLEX.html","GOCC_CUL2_RING_UBIQUITIN_LIGASE_COMPLEX")</f>
        <v>GOCC_CUL2_RING_UBIQUITIN_LIGASE_COMPLEX</v>
      </c>
      <c r="C5423" s="4">
        <v>23</v>
      </c>
      <c r="D5423" s="3">
        <v>-1.0657052</v>
      </c>
      <c r="E5423" s="1">
        <v>0.34422111999999999</v>
      </c>
      <c r="F5423" s="2">
        <v>0.58727799999999997</v>
      </c>
    </row>
    <row r="5424" spans="1:6" x14ac:dyDescent="0.25">
      <c r="A5424" t="s">
        <v>6</v>
      </c>
      <c r="B5424" s="5" t="str">
        <f>HYPERLINK("http://www.broadinstitute.org/gsea/msigdb/cards/GOBP_NCRNA_CATABOLIC_PROCESS.html","GOBP_NCRNA_CATABOLIC_PROCESS")</f>
        <v>GOBP_NCRNA_CATABOLIC_PROCESS</v>
      </c>
      <c r="C5424" s="4">
        <v>43</v>
      </c>
      <c r="D5424" s="3">
        <v>-1.0661236999999999</v>
      </c>
      <c r="E5424" s="1">
        <v>0.35770234000000001</v>
      </c>
      <c r="F5424" s="2">
        <v>0.58657870000000001</v>
      </c>
    </row>
    <row r="5425" spans="1:6" x14ac:dyDescent="0.25">
      <c r="A5425" t="s">
        <v>8</v>
      </c>
      <c r="B5425" s="5" t="str">
        <f>HYPERLINK("http://www.broadinstitute.org/gsea/msigdb/cards/GOMF_ORGANOPHOSPHATE_ESTER_TRANSMEMBRANE_TRANSPORTER_ACTIVITY.html","GOMF_ORGANOPHOSPHATE_ESTER_TRANSMEMBRANE_TRANSPORTER_ACTIVITY")</f>
        <v>GOMF_ORGANOPHOSPHATE_ESTER_TRANSMEMBRANE_TRANSPORTER_ACTIVITY</v>
      </c>
      <c r="C5425" s="4">
        <v>35</v>
      </c>
      <c r="D5425" s="3">
        <v>-1.0671056999999999</v>
      </c>
      <c r="E5425" s="1">
        <v>0.33980579999999999</v>
      </c>
      <c r="F5425" s="2">
        <v>0.58443045999999998</v>
      </c>
    </row>
    <row r="5426" spans="1:6" x14ac:dyDescent="0.25">
      <c r="A5426" t="s">
        <v>7</v>
      </c>
      <c r="B5426" s="5" t="str">
        <f>HYPERLINK("http://www.broadinstitute.org/gsea/msigdb/cards/GOCC_NEURON_PROJECTION_TERMINUS.html","GOCC_NEURON_PROJECTION_TERMINUS")</f>
        <v>GOCC_NEURON_PROJECTION_TERMINUS</v>
      </c>
      <c r="C5426" s="4">
        <v>219</v>
      </c>
      <c r="D5426" s="3">
        <v>-1.0671645000000001</v>
      </c>
      <c r="E5426" s="1">
        <v>0.25182483</v>
      </c>
      <c r="F5426" s="2">
        <v>0.58473337000000003</v>
      </c>
    </row>
    <row r="5427" spans="1:6" x14ac:dyDescent="0.25">
      <c r="A5427" t="s">
        <v>6</v>
      </c>
      <c r="B5427" s="5" t="str">
        <f>HYPERLINK("http://www.broadinstitute.org/gsea/msigdb/cards/GOBP_RNA_TEMPLATED_DNA_BIOSYNTHETIC_PROCESS.html","GOBP_RNA_TEMPLATED_DNA_BIOSYNTHETIC_PROCESS")</f>
        <v>GOBP_RNA_TEMPLATED_DNA_BIOSYNTHETIC_PROCESS</v>
      </c>
      <c r="C5427" s="4">
        <v>61</v>
      </c>
      <c r="D5427" s="3">
        <v>-1.0675190000000001</v>
      </c>
      <c r="E5427" s="1">
        <v>0.32258063999999997</v>
      </c>
      <c r="F5427" s="2">
        <v>0.58421515999999996</v>
      </c>
    </row>
    <row r="5428" spans="1:6" x14ac:dyDescent="0.25">
      <c r="A5428" t="s">
        <v>11</v>
      </c>
      <c r="B5428" s="5" t="str">
        <f>HYPERLINK("http://www.broadinstitute.org/gsea/msigdb/cards/WP_HEDGEHOG_SIGNALING_PATHWAY.html","WP_HEDGEHOG_SIGNALING_PATHWAY")</f>
        <v>WP_HEDGEHOG_SIGNALING_PATHWAY</v>
      </c>
      <c r="C5428" s="4">
        <v>22</v>
      </c>
      <c r="D5428" s="3">
        <v>-1.0675243000000001</v>
      </c>
      <c r="E5428" s="1">
        <v>0.36802030000000002</v>
      </c>
      <c r="F5428" s="2">
        <v>0.58469649999999995</v>
      </c>
    </row>
    <row r="5429" spans="1:6" x14ac:dyDescent="0.25">
      <c r="A5429" t="s">
        <v>6</v>
      </c>
      <c r="B5429" s="5" t="str">
        <f>HYPERLINK("http://www.broadinstitute.org/gsea/msigdb/cards/GOBP_NEURAL_RETINA_DEVELOPMENT.html","GOBP_NEURAL_RETINA_DEVELOPMENT")</f>
        <v>GOBP_NEURAL_RETINA_DEVELOPMENT</v>
      </c>
      <c r="C5429" s="4">
        <v>79</v>
      </c>
      <c r="D5429" s="3">
        <v>-1.0679163</v>
      </c>
      <c r="E5429" s="1">
        <v>0.28895184000000002</v>
      </c>
      <c r="F5429" s="2">
        <v>0.58410890000000004</v>
      </c>
    </row>
    <row r="5430" spans="1:6" x14ac:dyDescent="0.25">
      <c r="A5430" t="s">
        <v>6</v>
      </c>
      <c r="B5430" s="5" t="str">
        <f>HYPERLINK("http://www.broadinstitute.org/gsea/msigdb/cards/GOBP_MAINTENANCE_OF_CELL_POLARITY.html","GOBP_MAINTENANCE_OF_CELL_POLARITY")</f>
        <v>GOBP_MAINTENANCE_OF_CELL_POLARITY</v>
      </c>
      <c r="C5430" s="4">
        <v>18</v>
      </c>
      <c r="D5430" s="3">
        <v>-1.0679601000000001</v>
      </c>
      <c r="E5430" s="1">
        <v>0.352518</v>
      </c>
      <c r="F5430" s="2">
        <v>0.58446807000000001</v>
      </c>
    </row>
    <row r="5431" spans="1:6" x14ac:dyDescent="0.25">
      <c r="A5431" t="s">
        <v>6</v>
      </c>
      <c r="B5431" s="5" t="str">
        <f>HYPERLINK("http://www.broadinstitute.org/gsea/msigdb/cards/GOBP_OLFACTORY_BEHAVIOR.html","GOBP_OLFACTORY_BEHAVIOR")</f>
        <v>GOBP_OLFACTORY_BEHAVIOR</v>
      </c>
      <c r="C5431" s="4">
        <v>15</v>
      </c>
      <c r="D5431" s="3">
        <v>-1.0679927</v>
      </c>
      <c r="E5431" s="1">
        <v>0.35799520000000001</v>
      </c>
      <c r="F5431" s="2">
        <v>0.58487149999999999</v>
      </c>
    </row>
    <row r="5432" spans="1:6" x14ac:dyDescent="0.25">
      <c r="A5432" t="s">
        <v>7</v>
      </c>
      <c r="B5432" s="5" t="str">
        <f>HYPERLINK("http://www.broadinstitute.org/gsea/msigdb/cards/GOCC_GABA_RECEPTOR_COMPLEX.html","GOCC_GABA_RECEPTOR_COMPLEX")</f>
        <v>GOCC_GABA_RECEPTOR_COMPLEX</v>
      </c>
      <c r="C5432" s="4">
        <v>19</v>
      </c>
      <c r="D5432" s="3">
        <v>-1.0686647</v>
      </c>
      <c r="E5432" s="1">
        <v>0.34669810000000001</v>
      </c>
      <c r="F5432" s="2">
        <v>0.58351750000000002</v>
      </c>
    </row>
    <row r="5433" spans="1:6" x14ac:dyDescent="0.25">
      <c r="A5433" t="s">
        <v>6</v>
      </c>
      <c r="B5433" s="5" t="str">
        <f>HYPERLINK("http://www.broadinstitute.org/gsea/msigdb/cards/GOBP_HISTONE_DEACETYLATION.html","GOBP_HISTONE_DEACETYLATION")</f>
        <v>GOBP_HISTONE_DEACETYLATION</v>
      </c>
      <c r="C5433" s="4">
        <v>29</v>
      </c>
      <c r="D5433" s="3">
        <v>-1.0693577999999999</v>
      </c>
      <c r="E5433" s="1">
        <v>0.31159419999999999</v>
      </c>
      <c r="F5433" s="2">
        <v>0.58205340000000005</v>
      </c>
    </row>
    <row r="5434" spans="1:6" x14ac:dyDescent="0.25">
      <c r="A5434" t="s">
        <v>6</v>
      </c>
      <c r="B5434" s="5" t="str">
        <f>HYPERLINK("http://www.broadinstitute.org/gsea/msigdb/cards/GOBP_DEVELOPMENTAL_CELL_GROWTH.html","GOBP_DEVELOPMENTAL_CELL_GROWTH")</f>
        <v>GOBP_DEVELOPMENTAL_CELL_GROWTH</v>
      </c>
      <c r="C5434" s="4">
        <v>286</v>
      </c>
      <c r="D5434" s="3">
        <v>-1.0698247999999999</v>
      </c>
      <c r="E5434" s="1">
        <v>0.23577235999999999</v>
      </c>
      <c r="F5434" s="2">
        <v>0.58120309999999997</v>
      </c>
    </row>
    <row r="5435" spans="1:6" x14ac:dyDescent="0.25">
      <c r="A5435" t="s">
        <v>7</v>
      </c>
      <c r="B5435" s="5" t="str">
        <f>HYPERLINK("http://www.broadinstitute.org/gsea/msigdb/cards/GOCC_CHROMOSOMAL_REGION.html","GOCC_CHROMOSOMAL_REGION")</f>
        <v>GOCC_CHROMOSOMAL_REGION</v>
      </c>
      <c r="C5435" s="4">
        <v>360</v>
      </c>
      <c r="D5435" s="3">
        <v>-1.0701718</v>
      </c>
      <c r="E5435" s="1">
        <v>0.21138212000000001</v>
      </c>
      <c r="F5435" s="2">
        <v>0.58066636000000005</v>
      </c>
    </row>
    <row r="5436" spans="1:6" x14ac:dyDescent="0.25">
      <c r="A5436" t="s">
        <v>8</v>
      </c>
      <c r="B5436" s="5" t="str">
        <f>HYPERLINK("http://www.broadinstitute.org/gsea/msigdb/cards/GOMF_DNA_BINDING_TRANSCRIPTION_REPRESSOR_ACTIVITY.html","GOMF_DNA_BINDING_TRANSCRIPTION_REPRESSOR_ACTIVITY")</f>
        <v>GOMF_DNA_BINDING_TRANSCRIPTION_REPRESSOR_ACTIVITY</v>
      </c>
      <c r="C5436" s="4">
        <v>336</v>
      </c>
      <c r="D5436" s="3">
        <v>-1.0702837000000001</v>
      </c>
      <c r="E5436" s="1">
        <v>0.22171946000000001</v>
      </c>
      <c r="F5436" s="2">
        <v>0.58082060000000002</v>
      </c>
    </row>
    <row r="5437" spans="1:6" x14ac:dyDescent="0.25">
      <c r="A5437" t="s">
        <v>7</v>
      </c>
      <c r="B5437" s="5" t="str">
        <f>HYPERLINK("http://www.broadinstitute.org/gsea/msigdb/cards/GOCC_DNA_REPAIR_COMPLEX.html","GOCC_DNA_REPAIR_COMPLEX")</f>
        <v>GOCC_DNA_REPAIR_COMPLEX</v>
      </c>
      <c r="C5437" s="4">
        <v>22</v>
      </c>
      <c r="D5437" s="3">
        <v>-1.0704864999999999</v>
      </c>
      <c r="E5437" s="1">
        <v>0.35467979999999999</v>
      </c>
      <c r="F5437" s="2">
        <v>0.58072060000000003</v>
      </c>
    </row>
    <row r="5438" spans="1:6" x14ac:dyDescent="0.25">
      <c r="A5438" t="s">
        <v>6</v>
      </c>
      <c r="B5438" s="5" t="str">
        <f>HYPERLINK("http://www.broadinstitute.org/gsea/msigdb/cards/GOBP_RNA_MODIFICATION.html","GOBP_RNA_MODIFICATION")</f>
        <v>GOBP_RNA_MODIFICATION</v>
      </c>
      <c r="C5438" s="4">
        <v>153</v>
      </c>
      <c r="D5438" s="3">
        <v>-1.0706935</v>
      </c>
      <c r="E5438" s="1">
        <v>0.27941176000000001</v>
      </c>
      <c r="F5438" s="2">
        <v>0.58063039999999999</v>
      </c>
    </row>
    <row r="5439" spans="1:6" x14ac:dyDescent="0.25">
      <c r="A5439" t="s">
        <v>6</v>
      </c>
      <c r="B5439" s="5" t="str">
        <f>HYPERLINK("http://www.broadinstitute.org/gsea/msigdb/cards/GOBP_ROOF_OF_MOUTH_DEVELOPMENT.html","GOBP_ROOF_OF_MOUTH_DEVELOPMENT")</f>
        <v>GOBP_ROOF_OF_MOUTH_DEVELOPMENT</v>
      </c>
      <c r="C5439" s="4">
        <v>100</v>
      </c>
      <c r="D5439" s="3">
        <v>-1.071385</v>
      </c>
      <c r="E5439" s="1">
        <v>0.29787233000000002</v>
      </c>
      <c r="F5439" s="2">
        <v>0.57913289999999995</v>
      </c>
    </row>
    <row r="5440" spans="1:6" x14ac:dyDescent="0.25">
      <c r="A5440" t="s">
        <v>8</v>
      </c>
      <c r="B5440" s="5" t="str">
        <f>HYPERLINK("http://www.broadinstitute.org/gsea/msigdb/cards/GOMF_PROTEIN_KINASE_A_CATALYTIC_SUBUNIT_BINDING.html","GOMF_PROTEIN_KINASE_A_CATALYTIC_SUBUNIT_BINDING")</f>
        <v>GOMF_PROTEIN_KINASE_A_CATALYTIC_SUBUNIT_BINDING</v>
      </c>
      <c r="C5440" s="4">
        <v>15</v>
      </c>
      <c r="D5440" s="3">
        <v>-1.0717912000000001</v>
      </c>
      <c r="E5440" s="1">
        <v>0.35357916</v>
      </c>
      <c r="F5440" s="2">
        <v>0.57850219999999997</v>
      </c>
    </row>
    <row r="5441" spans="1:6" x14ac:dyDescent="0.25">
      <c r="A5441" t="s">
        <v>6</v>
      </c>
      <c r="B5441" s="5" t="str">
        <f>HYPERLINK("http://www.broadinstitute.org/gsea/msigdb/cards/GOBP_HEMATOPOIETIC_PROGENITOR_CELL_DIFFERENTIATION.html","GOBP_HEMATOPOIETIC_PROGENITOR_CELL_DIFFERENTIATION")</f>
        <v>GOBP_HEMATOPOIETIC_PROGENITOR_CELL_DIFFERENTIATION</v>
      </c>
      <c r="C5441" s="4">
        <v>161</v>
      </c>
      <c r="D5441" s="3">
        <v>-1.0728073</v>
      </c>
      <c r="E5441" s="1">
        <v>0.29333332000000001</v>
      </c>
      <c r="F5441" s="2">
        <v>0.57609206000000002</v>
      </c>
    </row>
    <row r="5442" spans="1:6" x14ac:dyDescent="0.25">
      <c r="A5442" t="s">
        <v>6</v>
      </c>
      <c r="B5442" s="5" t="str">
        <f>HYPERLINK("http://www.broadinstitute.org/gsea/msigdb/cards/GOBP_REGULATION_OF_WNT_SIGNALING_PATHWAY.html","GOBP_REGULATION_OF_WNT_SIGNALING_PATHWAY")</f>
        <v>GOBP_REGULATION_OF_WNT_SIGNALING_PATHWAY</v>
      </c>
      <c r="C5442" s="4">
        <v>323</v>
      </c>
      <c r="D5442" s="3">
        <v>-1.0728947</v>
      </c>
      <c r="E5442" s="1">
        <v>0.23004694000000001</v>
      </c>
      <c r="F5442" s="2">
        <v>0.57632190000000005</v>
      </c>
    </row>
    <row r="5443" spans="1:6" x14ac:dyDescent="0.25">
      <c r="A5443" t="s">
        <v>6</v>
      </c>
      <c r="B5443" s="5" t="str">
        <f>HYPERLINK("http://www.broadinstitute.org/gsea/msigdb/cards/GOBP_CYTOPLASMIC_TRANSLATIONAL_INITIATION.html","GOBP_CYTOPLASMIC_TRANSLATIONAL_INITIATION")</f>
        <v>GOBP_CYTOPLASMIC_TRANSLATIONAL_INITIATION</v>
      </c>
      <c r="C5443" s="4">
        <v>29</v>
      </c>
      <c r="D5443" s="3">
        <v>-1.0730788</v>
      </c>
      <c r="E5443" s="1">
        <v>0.34192038000000002</v>
      </c>
      <c r="F5443" s="2">
        <v>0.57630009999999998</v>
      </c>
    </row>
    <row r="5444" spans="1:6" x14ac:dyDescent="0.25">
      <c r="A5444" t="s">
        <v>6</v>
      </c>
      <c r="B5444" s="5" t="str">
        <f>HYPERLINK("http://www.broadinstitute.org/gsea/msigdb/cards/GOBP_MRNA_TRANSPORT.html","GOBP_MRNA_TRANSPORT")</f>
        <v>GOBP_MRNA_TRANSPORT</v>
      </c>
      <c r="C5444" s="4">
        <v>107</v>
      </c>
      <c r="D5444" s="3">
        <v>-1.0732478999999999</v>
      </c>
      <c r="E5444" s="1">
        <v>0.27794560000000001</v>
      </c>
      <c r="F5444" s="2">
        <v>0.57633509999999999</v>
      </c>
    </row>
    <row r="5445" spans="1:6" x14ac:dyDescent="0.25">
      <c r="A5445" t="s">
        <v>10</v>
      </c>
      <c r="B5445" s="5" t="str">
        <f>HYPERLINK("http://www.broadinstitute.org/gsea/msigdb/cards/REACTOME_MRNA_DECAY_BY_3_TO_5_EXORIBONUCLEASE.html","REACTOME_MRNA_DECAY_BY_3_TO_5_EXORIBONUCLEASE")</f>
        <v>REACTOME_MRNA_DECAY_BY_3_TO_5_EXORIBONUCLEASE</v>
      </c>
      <c r="C5445" s="4">
        <v>15</v>
      </c>
      <c r="D5445" s="3">
        <v>-1.0734068999999999</v>
      </c>
      <c r="E5445" s="1">
        <v>0.35176992000000001</v>
      </c>
      <c r="F5445" s="2">
        <v>0.57638100000000003</v>
      </c>
    </row>
    <row r="5446" spans="1:6" x14ac:dyDescent="0.25">
      <c r="A5446" t="s">
        <v>6</v>
      </c>
      <c r="B5446" s="5" t="str">
        <f>HYPERLINK("http://www.broadinstitute.org/gsea/msigdb/cards/GOBP_REGULATION_OF_PROTEIN_SUMOYLATION.html","GOBP_REGULATION_OF_PROTEIN_SUMOYLATION")</f>
        <v>GOBP_REGULATION_OF_PROTEIN_SUMOYLATION</v>
      </c>
      <c r="C5446" s="4">
        <v>25</v>
      </c>
      <c r="D5446" s="3">
        <v>-1.0741194000000001</v>
      </c>
      <c r="E5446" s="1">
        <v>0.34508814999999998</v>
      </c>
      <c r="F5446" s="2">
        <v>0.5749455</v>
      </c>
    </row>
    <row r="5447" spans="1:6" x14ac:dyDescent="0.25">
      <c r="A5447" t="s">
        <v>6</v>
      </c>
      <c r="B5447" s="5" t="str">
        <f>HYPERLINK("http://www.broadinstitute.org/gsea/msigdb/cards/GOBP_REGULATION_OF_MITOTIC_CELL_CYCLE.html","GOBP_REGULATION_OF_MITOTIC_CELL_CYCLE")</f>
        <v>GOBP_REGULATION_OF_MITOTIC_CELL_CYCLE</v>
      </c>
      <c r="C5447" s="4">
        <v>490</v>
      </c>
      <c r="D5447" s="3">
        <v>-1.0743144</v>
      </c>
      <c r="E5447" s="1">
        <v>0.18041236999999999</v>
      </c>
      <c r="F5447" s="2">
        <v>0.57491636000000002</v>
      </c>
    </row>
    <row r="5448" spans="1:6" x14ac:dyDescent="0.25">
      <c r="A5448" t="s">
        <v>6</v>
      </c>
      <c r="B5448" s="5" t="str">
        <f>HYPERLINK("http://www.broadinstitute.org/gsea/msigdb/cards/GOBP_PARASYMPATHETIC_NERVOUS_SYSTEM_DEVELOPMENT.html","GOBP_PARASYMPATHETIC_NERVOUS_SYSTEM_DEVELOPMENT")</f>
        <v>GOBP_PARASYMPATHETIC_NERVOUS_SYSTEM_DEVELOPMENT</v>
      </c>
      <c r="C5448" s="4">
        <v>22</v>
      </c>
      <c r="D5448" s="3">
        <v>-1.0745344999999999</v>
      </c>
      <c r="E5448" s="1">
        <v>0.34216869999999999</v>
      </c>
      <c r="F5448" s="2">
        <v>0.57476400000000005</v>
      </c>
    </row>
    <row r="5449" spans="1:6" x14ac:dyDescent="0.25">
      <c r="A5449" t="s">
        <v>8</v>
      </c>
      <c r="B5449" s="5" t="str">
        <f>HYPERLINK("http://www.broadinstitute.org/gsea/msigdb/cards/GOMF_LRR_DOMAIN_BINDING.html","GOMF_LRR_DOMAIN_BINDING")</f>
        <v>GOMF_LRR_DOMAIN_BINDING</v>
      </c>
      <c r="C5449" s="4">
        <v>19</v>
      </c>
      <c r="D5449" s="3">
        <v>-1.0747529</v>
      </c>
      <c r="E5449" s="1">
        <v>0.32500000000000001</v>
      </c>
      <c r="F5449" s="2">
        <v>0.57463779999999998</v>
      </c>
    </row>
    <row r="5450" spans="1:6" x14ac:dyDescent="0.25">
      <c r="A5450" t="s">
        <v>6</v>
      </c>
      <c r="B5450" s="5" t="str">
        <f>HYPERLINK("http://www.broadinstitute.org/gsea/msigdb/cards/GOBP_AXONEMAL_DYNEIN_COMPLEX_ASSEMBLY.html","GOBP_AXONEMAL_DYNEIN_COMPLEX_ASSEMBLY")</f>
        <v>GOBP_AXONEMAL_DYNEIN_COMPLEX_ASSEMBLY</v>
      </c>
      <c r="C5450" s="4">
        <v>36</v>
      </c>
      <c r="D5450" s="3">
        <v>-1.0766222000000001</v>
      </c>
      <c r="E5450" s="1">
        <v>0.31713553999999999</v>
      </c>
      <c r="F5450" s="2">
        <v>0.56994929999999999</v>
      </c>
    </row>
    <row r="5451" spans="1:6" x14ac:dyDescent="0.25">
      <c r="A5451" t="s">
        <v>8</v>
      </c>
      <c r="B5451" s="5" t="str">
        <f>HYPERLINK("http://www.broadinstitute.org/gsea/msigdb/cards/GOMF_PASSIVE_TRANSMEMBRANE_TRANSPORTER_ACTIVITY.html","GOMF_PASSIVE_TRANSMEMBRANE_TRANSPORTER_ACTIVITY")</f>
        <v>GOMF_PASSIVE_TRANSMEMBRANE_TRANSPORTER_ACTIVITY</v>
      </c>
      <c r="C5451" s="4">
        <v>485</v>
      </c>
      <c r="D5451" s="3">
        <v>-1.0778004000000001</v>
      </c>
      <c r="E5451" s="1">
        <v>0.17326732</v>
      </c>
      <c r="F5451" s="2">
        <v>0.56722320000000004</v>
      </c>
    </row>
    <row r="5452" spans="1:6" x14ac:dyDescent="0.25">
      <c r="A5452" t="s">
        <v>6</v>
      </c>
      <c r="B5452" s="5" t="str">
        <f>HYPERLINK("http://www.broadinstitute.org/gsea/msigdb/cards/GOBP_POSITIVE_REGULATION_OF_POST_TRANSCRIPTIONAL_GENE_SILENCING.html","GOBP_POSITIVE_REGULATION_OF_POST_TRANSCRIPTIONAL_GENE_SILENCING")</f>
        <v>GOBP_POSITIVE_REGULATION_OF_POST_TRANSCRIPTIONAL_GENE_SILENCING</v>
      </c>
      <c r="C5452" s="4">
        <v>17</v>
      </c>
      <c r="D5452" s="3">
        <v>-1.0780673000000001</v>
      </c>
      <c r="E5452" s="1">
        <v>0.36084905</v>
      </c>
      <c r="F5452" s="2">
        <v>0.56695216999999998</v>
      </c>
    </row>
    <row r="5453" spans="1:6" x14ac:dyDescent="0.25">
      <c r="A5453" t="s">
        <v>11</v>
      </c>
      <c r="B5453" s="5" t="str">
        <f>HYPERLINK("http://www.broadinstitute.org/gsea/msigdb/cards/WP_WNT_SIGNALING_IN_KIDNEY_DISEASE.html","WP_WNT_SIGNALING_IN_KIDNEY_DISEASE")</f>
        <v>WP_WNT_SIGNALING_IN_KIDNEY_DISEASE</v>
      </c>
      <c r="C5453" s="4">
        <v>43</v>
      </c>
      <c r="D5453" s="3">
        <v>-1.0783297000000001</v>
      </c>
      <c r="E5453" s="1">
        <v>0.29743589999999998</v>
      </c>
      <c r="F5453" s="2">
        <v>0.56673200000000001</v>
      </c>
    </row>
    <row r="5454" spans="1:6" x14ac:dyDescent="0.25">
      <c r="A5454" t="s">
        <v>6</v>
      </c>
      <c r="B5454" s="5" t="str">
        <f>HYPERLINK("http://www.broadinstitute.org/gsea/msigdb/cards/GOBP_FOREBRAIN_DEVELOPMENT.html","GOBP_FOREBRAIN_DEVELOPMENT")</f>
        <v>GOBP_FOREBRAIN_DEVELOPMENT</v>
      </c>
      <c r="C5454" s="4">
        <v>408</v>
      </c>
      <c r="D5454" s="3">
        <v>-1.0786640000000001</v>
      </c>
      <c r="E5454" s="1">
        <v>0.19117646999999999</v>
      </c>
      <c r="F5454" s="2">
        <v>0.5662952</v>
      </c>
    </row>
    <row r="5455" spans="1:6" x14ac:dyDescent="0.25">
      <c r="A5455" t="s">
        <v>5</v>
      </c>
      <c r="B5455" s="5" t="str">
        <f>HYPERLINK("http://www.broadinstitute.org/gsea/msigdb/cards/BIOCARTA_STATHMIN_PATHWAY.html","BIOCARTA_STATHMIN_PATHWAY")</f>
        <v>BIOCARTA_STATHMIN_PATHWAY</v>
      </c>
      <c r="C5455" s="4">
        <v>19</v>
      </c>
      <c r="D5455" s="3">
        <v>-1.0791558999999999</v>
      </c>
      <c r="E5455" s="1">
        <v>0.34872979999999998</v>
      </c>
      <c r="F5455" s="2">
        <v>0.56540159999999995</v>
      </c>
    </row>
    <row r="5456" spans="1:6" x14ac:dyDescent="0.25">
      <c r="A5456" t="s">
        <v>6</v>
      </c>
      <c r="B5456" s="5" t="str">
        <f>HYPERLINK("http://www.broadinstitute.org/gsea/msigdb/cards/GOBP_ORGANELLE_FISSION.html","GOBP_ORGANELLE_FISSION")</f>
        <v>GOBP_ORGANELLE_FISSION</v>
      </c>
      <c r="C5456" s="4">
        <v>489</v>
      </c>
      <c r="D5456" s="3">
        <v>-1.0797085</v>
      </c>
      <c r="E5456" s="1">
        <v>0.17766498</v>
      </c>
      <c r="F5456" s="2">
        <v>0.56438699999999997</v>
      </c>
    </row>
    <row r="5457" spans="1:6" x14ac:dyDescent="0.25">
      <c r="A5457" t="s">
        <v>6</v>
      </c>
      <c r="B5457" s="5" t="str">
        <f>HYPERLINK("http://www.broadinstitute.org/gsea/msigdb/cards/GOBP_MAMMARY_GLAND_DEVELOPMENT.html","GOBP_MAMMARY_GLAND_DEVELOPMENT")</f>
        <v>GOBP_MAMMARY_GLAND_DEVELOPMENT</v>
      </c>
      <c r="C5457" s="4">
        <v>141</v>
      </c>
      <c r="D5457" s="3">
        <v>-1.0821213000000001</v>
      </c>
      <c r="E5457" s="1">
        <v>0.27725856999999998</v>
      </c>
      <c r="F5457" s="2">
        <v>0.55822044999999998</v>
      </c>
    </row>
    <row r="5458" spans="1:6" x14ac:dyDescent="0.25">
      <c r="A5458" t="s">
        <v>6</v>
      </c>
      <c r="B5458" s="5" t="str">
        <f>HYPERLINK("http://www.broadinstitute.org/gsea/msigdb/cards/GOBP_NEGATIVE_REGULATION_OF_TORC1_SIGNALING.html","GOBP_NEGATIVE_REGULATION_OF_TORC1_SIGNALING")</f>
        <v>GOBP_NEGATIVE_REGULATION_OF_TORC1_SIGNALING</v>
      </c>
      <c r="C5458" s="4">
        <v>40</v>
      </c>
      <c r="D5458" s="3">
        <v>-1.0828274</v>
      </c>
      <c r="E5458" s="1">
        <v>0.32070707999999998</v>
      </c>
      <c r="F5458" s="2">
        <v>0.55680059999999998</v>
      </c>
    </row>
    <row r="5459" spans="1:6" x14ac:dyDescent="0.25">
      <c r="A5459" t="s">
        <v>10</v>
      </c>
      <c r="B5459" s="5" t="str">
        <f>HYPERLINK("http://www.broadinstitute.org/gsea/msigdb/cards/REACTOME_HOMOLOGY_DIRECTED_REPAIR.html","REACTOME_HOMOLOGY_DIRECTED_REPAIR")</f>
        <v>REACTOME_HOMOLOGY_DIRECTED_REPAIR</v>
      </c>
      <c r="C5459" s="4">
        <v>126</v>
      </c>
      <c r="D5459" s="3">
        <v>-1.0831617</v>
      </c>
      <c r="E5459" s="1">
        <v>0.25301205999999998</v>
      </c>
      <c r="F5459" s="2">
        <v>0.55640520000000004</v>
      </c>
    </row>
    <row r="5460" spans="1:6" x14ac:dyDescent="0.25">
      <c r="A5460" t="s">
        <v>6</v>
      </c>
      <c r="B5460" s="5" t="str">
        <f>HYPERLINK("http://www.broadinstitute.org/gsea/msigdb/cards/GOBP_REGULATION_OF_CARDIOCYTE_DIFFERENTIATION.html","GOBP_REGULATION_OF_CARDIOCYTE_DIFFERENTIATION")</f>
        <v>GOBP_REGULATION_OF_CARDIOCYTE_DIFFERENTIATION</v>
      </c>
      <c r="C5460" s="4">
        <v>27</v>
      </c>
      <c r="D5460" s="3">
        <v>-1.0834623999999999</v>
      </c>
      <c r="E5460" s="1">
        <v>0.30952382000000001</v>
      </c>
      <c r="F5460" s="2">
        <v>0.55606294000000001</v>
      </c>
    </row>
    <row r="5461" spans="1:6" x14ac:dyDescent="0.25">
      <c r="A5461" t="s">
        <v>8</v>
      </c>
      <c r="B5461" s="5" t="str">
        <f>HYPERLINK("http://www.broadinstitute.org/gsea/msigdb/cards/GOMF_SOLUTE_INORGANIC_ANION_ANTIPORTER_ACTIVITY.html","GOMF_SOLUTE_INORGANIC_ANION_ANTIPORTER_ACTIVITY")</f>
        <v>GOMF_SOLUTE_INORGANIC_ANION_ANTIPORTER_ACTIVITY</v>
      </c>
      <c r="C5461" s="4">
        <v>27</v>
      </c>
      <c r="D5461" s="3">
        <v>-1.084246</v>
      </c>
      <c r="E5461" s="1">
        <v>0.3301887</v>
      </c>
      <c r="F5461" s="2">
        <v>0.55444484999999999</v>
      </c>
    </row>
    <row r="5462" spans="1:6" x14ac:dyDescent="0.25">
      <c r="A5462" t="s">
        <v>10</v>
      </c>
      <c r="B5462" s="5" t="str">
        <f>HYPERLINK("http://www.broadinstitute.org/gsea/msigdb/cards/REACTOME_DEUBIQUITINATION.html","REACTOME_DEUBIQUITINATION")</f>
        <v>REACTOME_DEUBIQUITINATION</v>
      </c>
      <c r="C5462" s="4">
        <v>244</v>
      </c>
      <c r="D5462" s="3">
        <v>-1.0843940999999999</v>
      </c>
      <c r="E5462" s="1">
        <v>0.20463319999999999</v>
      </c>
      <c r="F5462" s="2">
        <v>0.55452882999999997</v>
      </c>
    </row>
    <row r="5463" spans="1:6" x14ac:dyDescent="0.25">
      <c r="A5463" t="s">
        <v>6</v>
      </c>
      <c r="B5463" s="5" t="str">
        <f>HYPERLINK("http://www.broadinstitute.org/gsea/msigdb/cards/GOBP_REGULATION_OF_RRNA_PROCESSING.html","GOBP_REGULATION_OF_RRNA_PROCESSING")</f>
        <v>GOBP_REGULATION_OF_RRNA_PROCESSING</v>
      </c>
      <c r="C5463" s="4">
        <v>16</v>
      </c>
      <c r="D5463" s="3">
        <v>-1.0844727000000001</v>
      </c>
      <c r="E5463" s="1">
        <v>0.32293987000000002</v>
      </c>
      <c r="F5463" s="2">
        <v>0.5547938</v>
      </c>
    </row>
    <row r="5464" spans="1:6" x14ac:dyDescent="0.25">
      <c r="A5464" t="s">
        <v>7</v>
      </c>
      <c r="B5464" s="5" t="str">
        <f>HYPERLINK("http://www.broadinstitute.org/gsea/msigdb/cards/GOCC_CYTOPLASMIC_REGION.html","GOCC_CYTOPLASMIC_REGION")</f>
        <v>GOCC_CYTOPLASMIC_REGION</v>
      </c>
      <c r="C5464" s="4">
        <v>262</v>
      </c>
      <c r="D5464" s="3">
        <v>-1.0846340999999999</v>
      </c>
      <c r="E5464" s="1">
        <v>0.20746887999999999</v>
      </c>
      <c r="F5464" s="2">
        <v>0.55482880000000001</v>
      </c>
    </row>
    <row r="5465" spans="1:6" x14ac:dyDescent="0.25">
      <c r="A5465" t="s">
        <v>10</v>
      </c>
      <c r="B5465" s="5" t="str">
        <f>HYPERLINK("http://www.broadinstitute.org/gsea/msigdb/cards/REACTOME_RESOLUTION_OF_AP_SITES_VIA_THE_MULTIPLE_NUCLEOTIDE_PATCH_REPLACEMENT_PATHWAY.html","REACTOME_RESOLUTION_OF_AP_SITES_VIA_THE_MULTIPLE_NUCLEOTIDE_PATCH_REPLACEMENT_PATHWAY")</f>
        <v>REACTOME_RESOLUTION_OF_AP_SITES_VIA_THE_MULTIPLE_NUCLEOTIDE_PATCH_REPLACEMENT_PATHWAY</v>
      </c>
      <c r="C5465" s="4">
        <v>24</v>
      </c>
      <c r="D5465" s="3">
        <v>-1.0852641000000001</v>
      </c>
      <c r="E5465" s="1">
        <v>0.32884097000000001</v>
      </c>
      <c r="F5465" s="2">
        <v>0.55359139999999996</v>
      </c>
    </row>
    <row r="5466" spans="1:6" x14ac:dyDescent="0.25">
      <c r="A5466" t="s">
        <v>6</v>
      </c>
      <c r="B5466" s="5" t="str">
        <f>HYPERLINK("http://www.broadinstitute.org/gsea/msigdb/cards/GOBP_REGULATION_OF_PROTEIN_EXPORT_FROM_NUCLEUS.html","GOBP_REGULATION_OF_PROTEIN_EXPORT_FROM_NUCLEUS")</f>
        <v>GOBP_REGULATION_OF_PROTEIN_EXPORT_FROM_NUCLEUS</v>
      </c>
      <c r="C5466" s="4">
        <v>38</v>
      </c>
      <c r="D5466" s="3">
        <v>-1.0857227</v>
      </c>
      <c r="E5466" s="1">
        <v>0.30048078</v>
      </c>
      <c r="F5466" s="2">
        <v>0.55276389999999997</v>
      </c>
    </row>
    <row r="5467" spans="1:6" x14ac:dyDescent="0.25">
      <c r="A5467" t="s">
        <v>8</v>
      </c>
      <c r="B5467" s="5" t="str">
        <f>HYPERLINK("http://www.broadinstitute.org/gsea/msigdb/cards/GOMF_RIBOSOME_BINDING.html","GOMF_RIBOSOME_BINDING")</f>
        <v>GOMF_RIBOSOME_BINDING</v>
      </c>
      <c r="C5467" s="4">
        <v>112</v>
      </c>
      <c r="D5467" s="3">
        <v>-1.0858421</v>
      </c>
      <c r="E5467" s="1">
        <v>0.24783862000000001</v>
      </c>
      <c r="F5467" s="2">
        <v>0.55292976000000005</v>
      </c>
    </row>
    <row r="5468" spans="1:6" x14ac:dyDescent="0.25">
      <c r="A5468" t="s">
        <v>6</v>
      </c>
      <c r="B5468" s="5" t="str">
        <f>HYPERLINK("http://www.broadinstitute.org/gsea/msigdb/cards/GOBP_POSITIVE_REGULATION_OF_MULTICELLULAR_ORGANISM_GROWTH.html","GOBP_POSITIVE_REGULATION_OF_MULTICELLULAR_ORGANISM_GROWTH")</f>
        <v>GOBP_POSITIVE_REGULATION_OF_MULTICELLULAR_ORGANISM_GROWTH</v>
      </c>
      <c r="C5468" s="4">
        <v>42</v>
      </c>
      <c r="D5468" s="3">
        <v>-1.086136</v>
      </c>
      <c r="E5468" s="1">
        <v>0.31603774000000001</v>
      </c>
      <c r="F5468" s="2">
        <v>0.55265313000000005</v>
      </c>
    </row>
    <row r="5469" spans="1:6" x14ac:dyDescent="0.25">
      <c r="A5469" t="s">
        <v>6</v>
      </c>
      <c r="B5469" s="5" t="str">
        <f>HYPERLINK("http://www.broadinstitute.org/gsea/msigdb/cards/GOBP_UROGENITAL_SYSTEM_DEVELOPMENT.html","GOBP_UROGENITAL_SYSTEM_DEVELOPMENT")</f>
        <v>GOBP_UROGENITAL_SYSTEM_DEVELOPMENT</v>
      </c>
      <c r="C5469" s="4">
        <v>67</v>
      </c>
      <c r="D5469" s="3">
        <v>-1.0862703</v>
      </c>
      <c r="E5469" s="1">
        <v>0.30635836999999999</v>
      </c>
      <c r="F5469" s="2">
        <v>0.55274789999999996</v>
      </c>
    </row>
    <row r="5470" spans="1:6" x14ac:dyDescent="0.25">
      <c r="A5470" t="s">
        <v>6</v>
      </c>
      <c r="B5470" s="5" t="str">
        <f>HYPERLINK("http://www.broadinstitute.org/gsea/msigdb/cards/GOBP_POSITIVE_REGULATION_OF_DNA_BINDING.html","GOBP_POSITIVE_REGULATION_OF_DNA_BINDING")</f>
        <v>GOBP_POSITIVE_REGULATION_OF_DNA_BINDING</v>
      </c>
      <c r="C5470" s="4">
        <v>58</v>
      </c>
      <c r="D5470" s="3">
        <v>-1.0868420000000001</v>
      </c>
      <c r="E5470" s="1">
        <v>0.31299734000000001</v>
      </c>
      <c r="F5470" s="2">
        <v>0.55174749999999995</v>
      </c>
    </row>
    <row r="5471" spans="1:6" x14ac:dyDescent="0.25">
      <c r="A5471" t="s">
        <v>6</v>
      </c>
      <c r="B5471" s="5" t="str">
        <f>HYPERLINK("http://www.broadinstitute.org/gsea/msigdb/cards/GOBP_AXONEME_ASSEMBLY.html","GOBP_AXONEME_ASSEMBLY")</f>
        <v>GOBP_AXONEME_ASSEMBLY</v>
      </c>
      <c r="C5471" s="4">
        <v>95</v>
      </c>
      <c r="D5471" s="3">
        <v>-1.0871059000000001</v>
      </c>
      <c r="E5471" s="1">
        <v>0.25568180000000001</v>
      </c>
      <c r="F5471" s="2">
        <v>0.55148870000000005</v>
      </c>
    </row>
    <row r="5472" spans="1:6" x14ac:dyDescent="0.25">
      <c r="A5472" t="s">
        <v>6</v>
      </c>
      <c r="B5472" s="5" t="str">
        <f>HYPERLINK("http://www.broadinstitute.org/gsea/msigdb/cards/GOBP_PLASMA_MEMBRANE_FUSION.html","GOBP_PLASMA_MEMBRANE_FUSION")</f>
        <v>GOBP_PLASMA_MEMBRANE_FUSION</v>
      </c>
      <c r="C5472" s="4">
        <v>23</v>
      </c>
      <c r="D5472" s="3">
        <v>-1.0874318999999999</v>
      </c>
      <c r="E5472" s="1">
        <v>0.34624700000000003</v>
      </c>
      <c r="F5472" s="2">
        <v>0.55107015000000004</v>
      </c>
    </row>
    <row r="5473" spans="1:6" x14ac:dyDescent="0.25">
      <c r="A5473" t="s">
        <v>6</v>
      </c>
      <c r="B5473" s="5" t="str">
        <f>HYPERLINK("http://www.broadinstitute.org/gsea/msigdb/cards/GOBP_POSITIVE_REGULATION_OF_GLUCOSE_METABOLIC_PROCESS.html","GOBP_POSITIVE_REGULATION_OF_GLUCOSE_METABOLIC_PROCESS")</f>
        <v>GOBP_POSITIVE_REGULATION_OF_GLUCOSE_METABOLIC_PROCESS</v>
      </c>
      <c r="C5473" s="4">
        <v>50</v>
      </c>
      <c r="D5473" s="3">
        <v>-1.0878625</v>
      </c>
      <c r="E5473" s="1">
        <v>0.27431422</v>
      </c>
      <c r="F5473" s="2">
        <v>0.55038710000000002</v>
      </c>
    </row>
    <row r="5474" spans="1:6" x14ac:dyDescent="0.25">
      <c r="A5474" t="s">
        <v>6</v>
      </c>
      <c r="B5474" s="5" t="str">
        <f>HYPERLINK("http://www.broadinstitute.org/gsea/msigdb/cards/GOBP_CARDIAC_CELL_DEVELOPMENT.html","GOBP_CARDIAC_CELL_DEVELOPMENT")</f>
        <v>GOBP_CARDIAC_CELL_DEVELOPMENT</v>
      </c>
      <c r="C5474" s="4">
        <v>116</v>
      </c>
      <c r="D5474" s="3">
        <v>-1.0878699999999999</v>
      </c>
      <c r="E5474" s="1">
        <v>0.26219510000000001</v>
      </c>
      <c r="F5474" s="2">
        <v>0.55084169999999999</v>
      </c>
    </row>
    <row r="5475" spans="1:6" x14ac:dyDescent="0.25">
      <c r="A5475" t="s">
        <v>10</v>
      </c>
      <c r="B5475" s="5" t="str">
        <f>HYPERLINK("http://www.broadinstitute.org/gsea/msigdb/cards/REACTOME_REGULATION_OF_FZD_BY_UBIQUITINATION.html","REACTOME_REGULATION_OF_FZD_BY_UBIQUITINATION")</f>
        <v>REACTOME_REGULATION_OF_FZD_BY_UBIQUITINATION</v>
      </c>
      <c r="C5475" s="4">
        <v>20</v>
      </c>
      <c r="D5475" s="3">
        <v>-1.0883403</v>
      </c>
      <c r="E5475" s="1">
        <v>0.33985330000000002</v>
      </c>
      <c r="F5475" s="2">
        <v>0.55005806999999995</v>
      </c>
    </row>
    <row r="5476" spans="1:6" x14ac:dyDescent="0.25">
      <c r="A5476" t="s">
        <v>6</v>
      </c>
      <c r="B5476" s="5" t="str">
        <f>HYPERLINK("http://www.broadinstitute.org/gsea/msigdb/cards/GOBP_GLUTATHIONE_METABOLIC_PROCESS.html","GOBP_GLUTATHIONE_METABOLIC_PROCESS")</f>
        <v>GOBP_GLUTATHIONE_METABOLIC_PROCESS</v>
      </c>
      <c r="C5476" s="4">
        <v>63</v>
      </c>
      <c r="D5476" s="3">
        <v>-1.0883757000000001</v>
      </c>
      <c r="E5476" s="1">
        <v>0.28083989999999998</v>
      </c>
      <c r="F5476" s="2">
        <v>0.55044519999999997</v>
      </c>
    </row>
    <row r="5477" spans="1:6" x14ac:dyDescent="0.25">
      <c r="A5477" t="s">
        <v>6</v>
      </c>
      <c r="B5477" s="5" t="str">
        <f>HYPERLINK("http://www.broadinstitute.org/gsea/msigdb/cards/GOBP_POLYSACCHARIDE_METABOLIC_PROCESS.html","GOBP_POLYSACCHARIDE_METABOLIC_PROCESS")</f>
        <v>GOBP_POLYSACCHARIDE_METABOLIC_PROCESS</v>
      </c>
      <c r="C5477" s="4">
        <v>104</v>
      </c>
      <c r="D5477" s="3">
        <v>-1.0884339999999999</v>
      </c>
      <c r="E5477" s="1">
        <v>0.25443786000000002</v>
      </c>
      <c r="F5477" s="2">
        <v>0.55076694000000004</v>
      </c>
    </row>
    <row r="5478" spans="1:6" x14ac:dyDescent="0.25">
      <c r="A5478" t="s">
        <v>6</v>
      </c>
      <c r="B5478" s="5" t="str">
        <f>HYPERLINK("http://www.broadinstitute.org/gsea/msigdb/cards/GOBP_RESPONSE_TO_FORSKOLIN.html","GOBP_RESPONSE_TO_FORSKOLIN")</f>
        <v>GOBP_RESPONSE_TO_FORSKOLIN</v>
      </c>
      <c r="C5478" s="4">
        <v>17</v>
      </c>
      <c r="D5478" s="3">
        <v>-1.0885674999999999</v>
      </c>
      <c r="E5478" s="1">
        <v>0.32558140000000002</v>
      </c>
      <c r="F5478" s="2">
        <v>0.55084129999999998</v>
      </c>
    </row>
    <row r="5479" spans="1:6" x14ac:dyDescent="0.25">
      <c r="A5479" t="s">
        <v>6</v>
      </c>
      <c r="B5479" s="5" t="str">
        <f>HYPERLINK("http://www.broadinstitute.org/gsea/msigdb/cards/GOBP_DNA_REPAIR_DEPENDENT_CHROMATIN_REMODELING.html","GOBP_DNA_REPAIR_DEPENDENT_CHROMATIN_REMODELING")</f>
        <v>GOBP_DNA_REPAIR_DEPENDENT_CHROMATIN_REMODELING</v>
      </c>
      <c r="C5479" s="4">
        <v>21</v>
      </c>
      <c r="D5479" s="3">
        <v>-1.0890219999999999</v>
      </c>
      <c r="E5479" s="1">
        <v>0.32678132999999998</v>
      </c>
      <c r="F5479" s="2">
        <v>0.55009954999999999</v>
      </c>
    </row>
    <row r="5480" spans="1:6" x14ac:dyDescent="0.25">
      <c r="A5480" t="s">
        <v>7</v>
      </c>
      <c r="B5480" s="5" t="str">
        <f>HYPERLINK("http://www.broadinstitute.org/gsea/msigdb/cards/GOCC_NUCLEAR_PERIPHERY.html","GOCC_NUCLEAR_PERIPHERY")</f>
        <v>GOCC_NUCLEAR_PERIPHERY</v>
      </c>
      <c r="C5480" s="4">
        <v>136</v>
      </c>
      <c r="D5480" s="3">
        <v>-1.0898924000000001</v>
      </c>
      <c r="E5480" s="1">
        <v>0.24390244</v>
      </c>
      <c r="F5480" s="2">
        <v>0.54824150000000005</v>
      </c>
    </row>
    <row r="5481" spans="1:6" x14ac:dyDescent="0.25">
      <c r="A5481" t="s">
        <v>6</v>
      </c>
      <c r="B5481" s="5" t="str">
        <f>HYPERLINK("http://www.broadinstitute.org/gsea/msigdb/cards/GOBP_REGULATION_OF_GLIAL_CELL_DIFFERENTIATION.html","GOBP_REGULATION_OF_GLIAL_CELL_DIFFERENTIATION")</f>
        <v>GOBP_REGULATION_OF_GLIAL_CELL_DIFFERENTIATION</v>
      </c>
      <c r="C5481" s="4">
        <v>93</v>
      </c>
      <c r="D5481" s="3">
        <v>-1.0899220999999999</v>
      </c>
      <c r="E5481" s="1">
        <v>0.26902175</v>
      </c>
      <c r="F5481" s="2">
        <v>0.54863079999999997</v>
      </c>
    </row>
    <row r="5482" spans="1:6" x14ac:dyDescent="0.25">
      <c r="A5482" t="s">
        <v>10</v>
      </c>
      <c r="B5482" s="5" t="str">
        <f>HYPERLINK("http://www.broadinstitute.org/gsea/msigdb/cards/REACTOME_TCR_SIGNALING.html","REACTOME_TCR_SIGNALING")</f>
        <v>REACTOME_TCR_SIGNALING</v>
      </c>
      <c r="C5482" s="4">
        <v>106</v>
      </c>
      <c r="D5482" s="3">
        <v>-1.0902523</v>
      </c>
      <c r="E5482" s="1">
        <v>0.24367088000000001</v>
      </c>
      <c r="F5482" s="2">
        <v>0.54823520000000003</v>
      </c>
    </row>
    <row r="5483" spans="1:6" x14ac:dyDescent="0.25">
      <c r="A5483" t="s">
        <v>6</v>
      </c>
      <c r="B5483" s="5" t="str">
        <f>HYPERLINK("http://www.broadinstitute.org/gsea/msigdb/cards/GOBP_EYE_PHOTORECEPTOR_CELL_DIFFERENTIATION.html","GOBP_EYE_PHOTORECEPTOR_CELL_DIFFERENTIATION")</f>
        <v>GOBP_EYE_PHOTORECEPTOR_CELL_DIFFERENTIATION</v>
      </c>
      <c r="C5483" s="4">
        <v>56</v>
      </c>
      <c r="D5483" s="3">
        <v>-1.0904402</v>
      </c>
      <c r="E5483" s="1">
        <v>0.28712872</v>
      </c>
      <c r="F5483" s="2">
        <v>0.5481859</v>
      </c>
    </row>
    <row r="5484" spans="1:6" x14ac:dyDescent="0.25">
      <c r="A5484" t="s">
        <v>6</v>
      </c>
      <c r="B5484" s="5" t="str">
        <f>HYPERLINK("http://www.broadinstitute.org/gsea/msigdb/cards/GOBP_REGULATION_OF_DELAYED_RECTIFIER_POTASSIUM_CHANNEL_ACTIVITY.html","GOBP_REGULATION_OF_DELAYED_RECTIFIER_POTASSIUM_CHANNEL_ACTIVITY")</f>
        <v>GOBP_REGULATION_OF_DELAYED_RECTIFIER_POTASSIUM_CHANNEL_ACTIVITY</v>
      </c>
      <c r="C5484" s="4">
        <v>18</v>
      </c>
      <c r="D5484" s="3">
        <v>-1.0904666999999999</v>
      </c>
      <c r="E5484" s="1">
        <v>0.33255269999999998</v>
      </c>
      <c r="F5484" s="2">
        <v>0.54859453000000002</v>
      </c>
    </row>
    <row r="5485" spans="1:6" x14ac:dyDescent="0.25">
      <c r="A5485" t="s">
        <v>6</v>
      </c>
      <c r="B5485" s="5" t="str">
        <f>HYPERLINK("http://www.broadinstitute.org/gsea/msigdb/cards/GOBP_STEM_CELL_PROLIFERATION.html","GOBP_STEM_CELL_PROLIFERATION")</f>
        <v>GOBP_STEM_CELL_PROLIFERATION</v>
      </c>
      <c r="C5485" s="4">
        <v>134</v>
      </c>
      <c r="D5485" s="3">
        <v>-1.0904984</v>
      </c>
      <c r="E5485" s="1">
        <v>0.2549575</v>
      </c>
      <c r="F5485" s="2">
        <v>0.54900439999999995</v>
      </c>
    </row>
    <row r="5486" spans="1:6" x14ac:dyDescent="0.25">
      <c r="A5486" t="s">
        <v>6</v>
      </c>
      <c r="B5486" s="5" t="str">
        <f>HYPERLINK("http://www.broadinstitute.org/gsea/msigdb/cards/GOBP_TELOMERE_MAINTENANCE_VIA_TELOMERE_LENGTHENING.html","GOBP_TELOMERE_MAINTENANCE_VIA_TELOMERE_LENGTHENING")</f>
        <v>GOBP_TELOMERE_MAINTENANCE_VIA_TELOMERE_LENGTHENING</v>
      </c>
      <c r="C5486" s="4">
        <v>74</v>
      </c>
      <c r="D5486" s="3">
        <v>-1.0905186</v>
      </c>
      <c r="E5486" s="1">
        <v>0.260745</v>
      </c>
      <c r="F5486" s="2">
        <v>0.54943377000000004</v>
      </c>
    </row>
    <row r="5487" spans="1:6" x14ac:dyDescent="0.25">
      <c r="A5487" t="s">
        <v>8</v>
      </c>
      <c r="B5487" s="5" t="str">
        <f>HYPERLINK("http://www.broadinstitute.org/gsea/msigdb/cards/GOMF_METALLOAMINOPEPTIDASE_ACTIVITY.html","GOMF_METALLOAMINOPEPTIDASE_ACTIVITY")</f>
        <v>GOMF_METALLOAMINOPEPTIDASE_ACTIVITY</v>
      </c>
      <c r="C5487" s="4">
        <v>21</v>
      </c>
      <c r="D5487" s="3">
        <v>-1.0908506</v>
      </c>
      <c r="E5487" s="1">
        <v>0.30913350000000001</v>
      </c>
      <c r="F5487" s="2">
        <v>0.54904556000000004</v>
      </c>
    </row>
    <row r="5488" spans="1:6" x14ac:dyDescent="0.25">
      <c r="A5488" t="s">
        <v>6</v>
      </c>
      <c r="B5488" s="5" t="str">
        <f>HYPERLINK("http://www.broadinstitute.org/gsea/msigdb/cards/GOBP_REGULATION_OF_CELL_CYCLE_CHECKPOINT.html","GOBP_REGULATION_OF_CELL_CYCLE_CHECKPOINT")</f>
        <v>GOBP_REGULATION_OF_CELL_CYCLE_CHECKPOINT</v>
      </c>
      <c r="C5488" s="4">
        <v>48</v>
      </c>
      <c r="D5488" s="3">
        <v>-1.0910797999999999</v>
      </c>
      <c r="E5488" s="1">
        <v>0.31460675999999999</v>
      </c>
      <c r="F5488" s="2">
        <v>0.54894480000000001</v>
      </c>
    </row>
    <row r="5489" spans="1:6" x14ac:dyDescent="0.25">
      <c r="A5489" t="s">
        <v>6</v>
      </c>
      <c r="B5489" s="5" t="str">
        <f>HYPERLINK("http://www.broadinstitute.org/gsea/msigdb/cards/GOBP_REGULATION_OF_CALCIUM_ION_DEPENDENT_EXOCYTOSIS.html","GOBP_REGULATION_OF_CALCIUM_ION_DEPENDENT_EXOCYTOSIS")</f>
        <v>GOBP_REGULATION_OF_CALCIUM_ION_DEPENDENT_EXOCYTOSIS</v>
      </c>
      <c r="C5489" s="4">
        <v>48</v>
      </c>
      <c r="D5489" s="3">
        <v>-1.091213</v>
      </c>
      <c r="E5489" s="1">
        <v>0.30311613999999998</v>
      </c>
      <c r="F5489" s="2">
        <v>0.54905265999999997</v>
      </c>
    </row>
    <row r="5490" spans="1:6" x14ac:dyDescent="0.25">
      <c r="A5490" t="s">
        <v>5</v>
      </c>
      <c r="B5490" s="5" t="str">
        <f>HYPERLINK("http://www.broadinstitute.org/gsea/msigdb/cards/BIOCARTA_BAD_PATHWAY.html","BIOCARTA_BAD_PATHWAY")</f>
        <v>BIOCARTA_BAD_PATHWAY</v>
      </c>
      <c r="C5490" s="4">
        <v>23</v>
      </c>
      <c r="D5490" s="3">
        <v>-1.0917691</v>
      </c>
      <c r="E5490" s="1">
        <v>0.29949239999999999</v>
      </c>
      <c r="F5490" s="2">
        <v>0.54800660000000001</v>
      </c>
    </row>
    <row r="5491" spans="1:6" x14ac:dyDescent="0.25">
      <c r="A5491" t="s">
        <v>6</v>
      </c>
      <c r="B5491" s="5" t="str">
        <f>HYPERLINK("http://www.broadinstitute.org/gsea/msigdb/cards/GOBP_POSITIVE_REGULATION_OF_CALCIUM_ION_TRANSMEMBRANE_TRANSPORTER_ACTIVITY.html","GOBP_POSITIVE_REGULATION_OF_CALCIUM_ION_TRANSMEMBRANE_TRANSPORTER_ACTIVITY")</f>
        <v>GOBP_POSITIVE_REGULATION_OF_CALCIUM_ION_TRANSMEMBRANE_TRANSPORTER_ACTIVITY</v>
      </c>
      <c r="C5491" s="4">
        <v>43</v>
      </c>
      <c r="D5491" s="3">
        <v>-1.0919323000000001</v>
      </c>
      <c r="E5491" s="1">
        <v>0.28978621999999998</v>
      </c>
      <c r="F5491" s="2">
        <v>0.54806405000000002</v>
      </c>
    </row>
    <row r="5492" spans="1:6" x14ac:dyDescent="0.25">
      <c r="A5492" t="s">
        <v>6</v>
      </c>
      <c r="B5492" s="5" t="str">
        <f>HYPERLINK("http://www.broadinstitute.org/gsea/msigdb/cards/GOBP_INTRACELLULAR_ESTROGEN_RECEPTOR_SIGNALING_PATHWAY.html","GOBP_INTRACELLULAR_ESTROGEN_RECEPTOR_SIGNALING_PATHWAY")</f>
        <v>GOBP_INTRACELLULAR_ESTROGEN_RECEPTOR_SIGNALING_PATHWAY</v>
      </c>
      <c r="C5492" s="4">
        <v>50</v>
      </c>
      <c r="D5492" s="3">
        <v>-1.0922942</v>
      </c>
      <c r="E5492" s="1">
        <v>0.28981723999999998</v>
      </c>
      <c r="F5492" s="2">
        <v>0.5476067</v>
      </c>
    </row>
    <row r="5493" spans="1:6" x14ac:dyDescent="0.25">
      <c r="A5493" t="s">
        <v>6</v>
      </c>
      <c r="B5493" s="5" t="str">
        <f>HYPERLINK("http://www.broadinstitute.org/gsea/msigdb/cards/GOBP_REGULATION_OF_DEVELOPMENT_HETEROCHRONIC.html","GOBP_REGULATION_OF_DEVELOPMENT_HETEROCHRONIC")</f>
        <v>GOBP_REGULATION_OF_DEVELOPMENT_HETEROCHRONIC</v>
      </c>
      <c r="C5493" s="4">
        <v>16</v>
      </c>
      <c r="D5493" s="3">
        <v>-1.0924218999999999</v>
      </c>
      <c r="E5493" s="1">
        <v>0.32134291999999998</v>
      </c>
      <c r="F5493" s="2">
        <v>0.54772865999999998</v>
      </c>
    </row>
    <row r="5494" spans="1:6" x14ac:dyDescent="0.25">
      <c r="A5494" t="s">
        <v>6</v>
      </c>
      <c r="B5494" s="5" t="str">
        <f>HYPERLINK("http://www.broadinstitute.org/gsea/msigdb/cards/GOBP_REGULATION_OF_TRANSCRIPTION_REGULATORY_REGION_DNA_BINDING.html","GOBP_REGULATION_OF_TRANSCRIPTION_REGULATORY_REGION_DNA_BINDING")</f>
        <v>GOBP_REGULATION_OF_TRANSCRIPTION_REGULATORY_REGION_DNA_BINDING</v>
      </c>
      <c r="C5494" s="4">
        <v>51</v>
      </c>
      <c r="D5494" s="3">
        <v>-1.0931310999999999</v>
      </c>
      <c r="E5494" s="1">
        <v>0.30107528</v>
      </c>
      <c r="F5494" s="2">
        <v>0.54630339999999999</v>
      </c>
    </row>
    <row r="5495" spans="1:6" x14ac:dyDescent="0.25">
      <c r="A5495" t="s">
        <v>6</v>
      </c>
      <c r="B5495" s="5" t="str">
        <f>HYPERLINK("http://www.broadinstitute.org/gsea/msigdb/cards/GOBP_REGULATION_OF_CELL_CYCLE_PHASE_TRANSITION.html","GOBP_REGULATION_OF_CELL_CYCLE_PHASE_TRANSITION")</f>
        <v>GOBP_REGULATION_OF_CELL_CYCLE_PHASE_TRANSITION</v>
      </c>
      <c r="C5495" s="4">
        <v>427</v>
      </c>
      <c r="D5495" s="3">
        <v>-1.0934767999999999</v>
      </c>
      <c r="E5495" s="1">
        <v>0.15887850000000001</v>
      </c>
      <c r="F5495" s="2">
        <v>0.54584509999999997</v>
      </c>
    </row>
    <row r="5496" spans="1:6" x14ac:dyDescent="0.25">
      <c r="A5496" t="s">
        <v>6</v>
      </c>
      <c r="B5496" s="5" t="str">
        <f>HYPERLINK("http://www.broadinstitute.org/gsea/msigdb/cards/GOBP_POSITIVE_REGULATION_OF_CELL_CYCLE_PROCESS.html","GOBP_POSITIVE_REGULATION_OF_CELL_CYCLE_PROCESS")</f>
        <v>GOBP_POSITIVE_REGULATION_OF_CELL_CYCLE_PROCESS</v>
      </c>
      <c r="C5496" s="4">
        <v>260</v>
      </c>
      <c r="D5496" s="3">
        <v>-1.0940342000000001</v>
      </c>
      <c r="E5496" s="1">
        <v>0.16491227999999999</v>
      </c>
      <c r="F5496" s="2">
        <v>0.54486480000000004</v>
      </c>
    </row>
    <row r="5497" spans="1:6" x14ac:dyDescent="0.25">
      <c r="A5497" t="s">
        <v>6</v>
      </c>
      <c r="B5497" s="5" t="str">
        <f>HYPERLINK("http://www.broadinstitute.org/gsea/msigdb/cards/GOBP_POSITIVE_REGULATION_OF_CELL_CYCLE.html","GOBP_POSITIVE_REGULATION_OF_CELL_CYCLE")</f>
        <v>GOBP_POSITIVE_REGULATION_OF_CELL_CYCLE</v>
      </c>
      <c r="C5497" s="4">
        <v>346</v>
      </c>
      <c r="D5497" s="3">
        <v>-1.0941723999999999</v>
      </c>
      <c r="E5497" s="1">
        <v>0.17622950000000001</v>
      </c>
      <c r="F5497" s="2">
        <v>0.54497576000000003</v>
      </c>
    </row>
    <row r="5498" spans="1:6" x14ac:dyDescent="0.25">
      <c r="A5498" t="s">
        <v>6</v>
      </c>
      <c r="B5498" s="5" t="str">
        <f>HYPERLINK("http://www.broadinstitute.org/gsea/msigdb/cards/GOBP_MITOTIC_G1_S_TRANSITION_CHECKPOINT_SIGNALING.html","GOBP_MITOTIC_G1_S_TRANSITION_CHECKPOINT_SIGNALING")</f>
        <v>GOBP_MITOTIC_G1_S_TRANSITION_CHECKPOINT_SIGNALING</v>
      </c>
      <c r="C5498" s="4">
        <v>24</v>
      </c>
      <c r="D5498" s="3">
        <v>-1.0945994999999999</v>
      </c>
      <c r="E5498" s="1">
        <v>0.31604939999999998</v>
      </c>
      <c r="F5498" s="2">
        <v>0.54433703</v>
      </c>
    </row>
    <row r="5499" spans="1:6" x14ac:dyDescent="0.25">
      <c r="A5499" t="s">
        <v>6</v>
      </c>
      <c r="B5499" s="5" t="str">
        <f>HYPERLINK("http://www.broadinstitute.org/gsea/msigdb/cards/GOBP_MODULATION_OF_EXCITATORY_POSTSYNAPTIC_POTENTIAL.html","GOBP_MODULATION_OF_EXCITATORY_POSTSYNAPTIC_POTENTIAL")</f>
        <v>GOBP_MODULATION_OF_EXCITATORY_POSTSYNAPTIC_POTENTIAL</v>
      </c>
      <c r="C5499" s="4">
        <v>63</v>
      </c>
      <c r="D5499" s="3">
        <v>-1.0946754999999999</v>
      </c>
      <c r="E5499" s="1">
        <v>0.27821522999999998</v>
      </c>
      <c r="F5499" s="2">
        <v>0.54460626999999995</v>
      </c>
    </row>
    <row r="5500" spans="1:6" x14ac:dyDescent="0.25">
      <c r="A5500" t="s">
        <v>10</v>
      </c>
      <c r="B5500" s="5" t="str">
        <f>HYPERLINK("http://www.broadinstitute.org/gsea/msigdb/cards/REACTOME_PROTEIN_UBIQUITINATION.html","REACTOME_PROTEIN_UBIQUITINATION")</f>
        <v>REACTOME_PROTEIN_UBIQUITINATION</v>
      </c>
      <c r="C5500" s="4">
        <v>70</v>
      </c>
      <c r="D5500" s="3">
        <v>-1.0949913</v>
      </c>
      <c r="E5500" s="1">
        <v>0.25761773999999998</v>
      </c>
      <c r="F5500" s="2">
        <v>0.54427736999999998</v>
      </c>
    </row>
    <row r="5501" spans="1:6" x14ac:dyDescent="0.25">
      <c r="A5501" t="s">
        <v>8</v>
      </c>
      <c r="B5501" s="5" t="str">
        <f>HYPERLINK("http://www.broadinstitute.org/gsea/msigdb/cards/GOMF_SPECTRIN_BINDING.html","GOMF_SPECTRIN_BINDING")</f>
        <v>GOMF_SPECTRIN_BINDING</v>
      </c>
      <c r="C5501" s="4">
        <v>34</v>
      </c>
      <c r="D5501" s="3">
        <v>-1.0954908000000001</v>
      </c>
      <c r="E5501" s="1">
        <v>0.30979499999999999</v>
      </c>
      <c r="F5501" s="2">
        <v>0.54339707000000004</v>
      </c>
    </row>
    <row r="5502" spans="1:6" x14ac:dyDescent="0.25">
      <c r="A5502" t="s">
        <v>10</v>
      </c>
      <c r="B5502" s="5" t="str">
        <f>HYPERLINK("http://www.broadinstitute.org/gsea/msigdb/cards/REACTOME_FERTILIZATION.html","REACTOME_FERTILIZATION")</f>
        <v>REACTOME_FERTILIZATION</v>
      </c>
      <c r="C5502" s="4">
        <v>20</v>
      </c>
      <c r="D5502" s="3">
        <v>-1.0955269999999999</v>
      </c>
      <c r="E5502" s="1">
        <v>0.31615925</v>
      </c>
      <c r="F5502" s="2">
        <v>0.54376453000000002</v>
      </c>
    </row>
    <row r="5503" spans="1:6" x14ac:dyDescent="0.25">
      <c r="A5503" t="s">
        <v>6</v>
      </c>
      <c r="B5503" s="5" t="str">
        <f>HYPERLINK("http://www.broadinstitute.org/gsea/msigdb/cards/GOBP_REGULATION_OF_MICROTUBULE_BASED_MOVEMENT.html","GOBP_REGULATION_OF_MICROTUBULE_BASED_MOVEMENT")</f>
        <v>GOBP_REGULATION_OF_MICROTUBULE_BASED_MOVEMENT</v>
      </c>
      <c r="C5503" s="4">
        <v>55</v>
      </c>
      <c r="D5503" s="3">
        <v>-1.0960387</v>
      </c>
      <c r="E5503" s="1">
        <v>0.29255320000000001</v>
      </c>
      <c r="F5503" s="2">
        <v>0.54292019999999996</v>
      </c>
    </row>
    <row r="5504" spans="1:6" x14ac:dyDescent="0.25">
      <c r="A5504" t="s">
        <v>8</v>
      </c>
      <c r="B5504" s="5" t="str">
        <f>HYPERLINK("http://www.broadinstitute.org/gsea/msigdb/cards/GOMF_OXIDOREDUCTASE_ACTIVITY_ACTING_ON_THE_CH_CH_GROUP_OF_DONORS_NAD_OR_NADP_AS_ACCEPTOR.html","GOMF_OXIDOREDUCTASE_ACTIVITY_ACTING_ON_THE_CH_CH_GROUP_OF_DONORS_NAD_OR_NADP_AS_ACCEPTOR")</f>
        <v>GOMF_OXIDOREDUCTASE_ACTIVITY_ACTING_ON_THE_CH_CH_GROUP_OF_DONORS_NAD_OR_NADP_AS_ACCEPTOR</v>
      </c>
      <c r="C5504" s="4">
        <v>33</v>
      </c>
      <c r="D5504" s="3">
        <v>-1.0964533000000001</v>
      </c>
      <c r="E5504" s="1">
        <v>0.29425839999999998</v>
      </c>
      <c r="F5504" s="2">
        <v>0.54228739999999998</v>
      </c>
    </row>
    <row r="5505" spans="1:6" x14ac:dyDescent="0.25">
      <c r="A5505" t="s">
        <v>6</v>
      </c>
      <c r="B5505" s="5" t="str">
        <f>HYPERLINK("http://www.broadinstitute.org/gsea/msigdb/cards/GOBP_PHOTORECEPTOR_CELL_DIFFERENTIATION.html","GOBP_PHOTORECEPTOR_CELL_DIFFERENTIATION")</f>
        <v>GOBP_PHOTORECEPTOR_CELL_DIFFERENTIATION</v>
      </c>
      <c r="C5505" s="4">
        <v>77</v>
      </c>
      <c r="D5505" s="3">
        <v>-1.0964917000000001</v>
      </c>
      <c r="E5505" s="1">
        <v>0.27246376999999999</v>
      </c>
      <c r="F5505" s="2">
        <v>0.54266959999999997</v>
      </c>
    </row>
    <row r="5506" spans="1:6" x14ac:dyDescent="0.25">
      <c r="A5506" t="s">
        <v>6</v>
      </c>
      <c r="B5506" s="5" t="str">
        <f>HYPERLINK("http://www.broadinstitute.org/gsea/msigdb/cards/GOBP_METENCEPHALON_DEVELOPMENT.html","GOBP_METENCEPHALON_DEVELOPMENT")</f>
        <v>GOBP_METENCEPHALON_DEVELOPMENT</v>
      </c>
      <c r="C5506" s="4">
        <v>123</v>
      </c>
      <c r="D5506" s="3">
        <v>-1.0965592</v>
      </c>
      <c r="E5506" s="1">
        <v>0.22865853999999999</v>
      </c>
      <c r="F5506" s="2">
        <v>0.54297227000000003</v>
      </c>
    </row>
    <row r="5507" spans="1:6" x14ac:dyDescent="0.25">
      <c r="A5507" t="s">
        <v>6</v>
      </c>
      <c r="B5507" s="5" t="str">
        <f>HYPERLINK("http://www.broadinstitute.org/gsea/msigdb/cards/GOBP_ESTABLISHMENT_OR_MAINTENANCE_OF_MONOPOLAR_CELL_POLARITY.html","GOBP_ESTABLISHMENT_OR_MAINTENANCE_OF_MONOPOLAR_CELL_POLARITY")</f>
        <v>GOBP_ESTABLISHMENT_OR_MAINTENANCE_OF_MONOPOLAR_CELL_POLARITY</v>
      </c>
      <c r="C5507" s="4">
        <v>26</v>
      </c>
      <c r="D5507" s="3">
        <v>-1.0971369</v>
      </c>
      <c r="E5507" s="1">
        <v>0.30637255000000002</v>
      </c>
      <c r="F5507" s="2">
        <v>0.54192890000000005</v>
      </c>
    </row>
    <row r="5508" spans="1:6" x14ac:dyDescent="0.25">
      <c r="A5508" t="s">
        <v>6</v>
      </c>
      <c r="B5508" s="5" t="str">
        <f>HYPERLINK("http://www.broadinstitute.org/gsea/msigdb/cards/GOBP_REGULATION_OF_CELL_CYCLE_G2_M_PHASE_TRANSITION.html","GOBP_REGULATION_OF_CELL_CYCLE_G2_M_PHASE_TRANSITION")</f>
        <v>GOBP_REGULATION_OF_CELL_CYCLE_G2_M_PHASE_TRANSITION</v>
      </c>
      <c r="C5508" s="4">
        <v>116</v>
      </c>
      <c r="D5508" s="3">
        <v>-1.0977151000000001</v>
      </c>
      <c r="E5508" s="1">
        <v>0.22514619999999999</v>
      </c>
      <c r="F5508" s="2">
        <v>0.54087580000000002</v>
      </c>
    </row>
    <row r="5509" spans="1:6" x14ac:dyDescent="0.25">
      <c r="A5509" t="s">
        <v>7</v>
      </c>
      <c r="B5509" s="5" t="str">
        <f>HYPERLINK("http://www.broadinstitute.org/gsea/msigdb/cards/GOCC_CCR4_NOT_COMPLEX.html","GOCC_CCR4_NOT_COMPLEX")</f>
        <v>GOCC_CCR4_NOT_COMPLEX</v>
      </c>
      <c r="C5509" s="4">
        <v>16</v>
      </c>
      <c r="D5509" s="3">
        <v>-1.0982065999999999</v>
      </c>
      <c r="E5509" s="1">
        <v>0.33990147999999998</v>
      </c>
      <c r="F5509" s="2">
        <v>0.54008120000000004</v>
      </c>
    </row>
    <row r="5510" spans="1:6" x14ac:dyDescent="0.25">
      <c r="A5510" t="s">
        <v>8</v>
      </c>
      <c r="B5510" s="5" t="str">
        <f>HYPERLINK("http://www.broadinstitute.org/gsea/msigdb/cards/GOMF_GABA_RECEPTOR_ACTIVITY.html","GOMF_GABA_RECEPTOR_ACTIVITY")</f>
        <v>GOMF_GABA_RECEPTOR_ACTIVITY</v>
      </c>
      <c r="C5510" s="4">
        <v>20</v>
      </c>
      <c r="D5510" s="3">
        <v>-1.0982604</v>
      </c>
      <c r="E5510" s="1">
        <v>0.30769232000000002</v>
      </c>
      <c r="F5510" s="2">
        <v>0.54041623999999999</v>
      </c>
    </row>
    <row r="5511" spans="1:6" x14ac:dyDescent="0.25">
      <c r="A5511" t="s">
        <v>10</v>
      </c>
      <c r="B5511" s="5" t="str">
        <f>HYPERLINK("http://www.broadinstitute.org/gsea/msigdb/cards/REACTOME_UB_SPECIFIC_PROCESSING_PROTEASES.html","REACTOME_UB_SPECIFIC_PROCESSING_PROTEASES")</f>
        <v>REACTOME_UB_SPECIFIC_PROCESSING_PROTEASES</v>
      </c>
      <c r="C5511" s="4">
        <v>174</v>
      </c>
      <c r="D5511" s="3">
        <v>-1.0987003</v>
      </c>
      <c r="E5511" s="1">
        <v>0.20761245</v>
      </c>
      <c r="F5511" s="2">
        <v>0.53972167000000004</v>
      </c>
    </row>
    <row r="5512" spans="1:6" x14ac:dyDescent="0.25">
      <c r="A5512" t="s">
        <v>6</v>
      </c>
      <c r="B5512" s="5" t="str">
        <f>HYPERLINK("http://www.broadinstitute.org/gsea/msigdb/cards/GOBP_FACULTATIVE_HETEROCHROMATIN_FORMATION.html","GOBP_FACULTATIVE_HETEROCHROMATIN_FORMATION")</f>
        <v>GOBP_FACULTATIVE_HETEROCHROMATIN_FORMATION</v>
      </c>
      <c r="C5512" s="4">
        <v>45</v>
      </c>
      <c r="D5512" s="3">
        <v>-1.0988046</v>
      </c>
      <c r="E5512" s="1">
        <v>0.27012986</v>
      </c>
      <c r="F5512" s="2">
        <v>0.5399313</v>
      </c>
    </row>
    <row r="5513" spans="1:6" x14ac:dyDescent="0.25">
      <c r="A5513" t="s">
        <v>7</v>
      </c>
      <c r="B5513" s="5" t="str">
        <f>HYPERLINK("http://www.broadinstitute.org/gsea/msigdb/cards/GOCC_INTERMEDIATE_FILAMENT_CYTOSKELETON.html","GOCC_INTERMEDIATE_FILAMENT_CYTOSKELETON")</f>
        <v>GOCC_INTERMEDIATE_FILAMENT_CYTOSKELETON</v>
      </c>
      <c r="C5513" s="4">
        <v>170</v>
      </c>
      <c r="D5513" s="3">
        <v>-1.0988119000000001</v>
      </c>
      <c r="E5513" s="1">
        <v>0.19</v>
      </c>
      <c r="F5513" s="2">
        <v>0.54039632999999998</v>
      </c>
    </row>
    <row r="5514" spans="1:6" x14ac:dyDescent="0.25">
      <c r="A5514" t="s">
        <v>6</v>
      </c>
      <c r="B5514" s="5" t="str">
        <f>HYPERLINK("http://www.broadinstitute.org/gsea/msigdb/cards/GOBP_REGULATION_OF_MEMBRANE_POTENTIAL.html","GOBP_REGULATION_OF_MEMBRANE_POTENTIAL")</f>
        <v>GOBP_REGULATION_OF_MEMBRANE_POTENTIAL</v>
      </c>
      <c r="C5514" s="4">
        <v>476</v>
      </c>
      <c r="D5514" s="3">
        <v>-1.09883</v>
      </c>
      <c r="E5514" s="1">
        <v>0.13157895</v>
      </c>
      <c r="F5514" s="2">
        <v>0.54083510000000001</v>
      </c>
    </row>
    <row r="5515" spans="1:6" x14ac:dyDescent="0.25">
      <c r="A5515" t="s">
        <v>6</v>
      </c>
      <c r="B5515" s="5" t="str">
        <f>HYPERLINK("http://www.broadinstitute.org/gsea/msigdb/cards/GOBP_MITOCHONDRIAL_OUTER_MEMBRANE_PERMEABILIZATION_INVOLVED_IN_PROGRAMMED_CELL_DEATH.html","GOBP_MITOCHONDRIAL_OUTER_MEMBRANE_PERMEABILIZATION_INVOLVED_IN_PROGRAMMED_CELL_DEATH")</f>
        <v>GOBP_MITOCHONDRIAL_OUTER_MEMBRANE_PERMEABILIZATION_INVOLVED_IN_PROGRAMMED_CELL_DEATH</v>
      </c>
      <c r="C5515" s="4">
        <v>39</v>
      </c>
      <c r="D5515" s="3">
        <v>-1.0993446</v>
      </c>
      <c r="E5515" s="1">
        <v>0.29016786999999999</v>
      </c>
      <c r="F5515" s="2">
        <v>0.53994509999999996</v>
      </c>
    </row>
    <row r="5516" spans="1:6" x14ac:dyDescent="0.25">
      <c r="A5516" t="s">
        <v>6</v>
      </c>
      <c r="B5516" s="5" t="str">
        <f>HYPERLINK("http://www.broadinstitute.org/gsea/msigdb/cards/GOBP_REGULATION_OF_HEMATOPOIETIC_PROGENITOR_CELL_DIFFERENTIATION.html","GOBP_REGULATION_OF_HEMATOPOIETIC_PROGENITOR_CELL_DIFFERENTIATION")</f>
        <v>GOBP_REGULATION_OF_HEMATOPOIETIC_PROGENITOR_CELL_DIFFERENTIATION</v>
      </c>
      <c r="C5516" s="4">
        <v>41</v>
      </c>
      <c r="D5516" s="3">
        <v>-1.0993641999999999</v>
      </c>
      <c r="E5516" s="1">
        <v>0.28165372999999999</v>
      </c>
      <c r="F5516" s="2">
        <v>0.5403616</v>
      </c>
    </row>
    <row r="5517" spans="1:6" x14ac:dyDescent="0.25">
      <c r="A5517" t="s">
        <v>6</v>
      </c>
      <c r="B5517" s="5" t="str">
        <f>HYPERLINK("http://www.broadinstitute.org/gsea/msigdb/cards/GOBP_HORMONE_MEDIATED_SIGNALING_PATHWAY.html","GOBP_HORMONE_MEDIATED_SIGNALING_PATHWAY")</f>
        <v>GOBP_HORMONE_MEDIATED_SIGNALING_PATHWAY</v>
      </c>
      <c r="C5517" s="4">
        <v>161</v>
      </c>
      <c r="D5517" s="3">
        <v>-1.1002083</v>
      </c>
      <c r="E5517" s="1">
        <v>0.2012987</v>
      </c>
      <c r="F5517" s="2">
        <v>0.53855260000000005</v>
      </c>
    </row>
    <row r="5518" spans="1:6" x14ac:dyDescent="0.25">
      <c r="A5518" t="s">
        <v>6</v>
      </c>
      <c r="B5518" s="5" t="str">
        <f>HYPERLINK("http://www.broadinstitute.org/gsea/msigdb/cards/GOBP_PEPTIDYL_LYSINE_MODIFICATION.html","GOBP_PEPTIDYL_LYSINE_MODIFICATION")</f>
        <v>GOBP_PEPTIDYL_LYSINE_MODIFICATION</v>
      </c>
      <c r="C5518" s="4">
        <v>217</v>
      </c>
      <c r="D5518" s="3">
        <v>-1.100724</v>
      </c>
      <c r="E5518" s="1">
        <v>0.18214285</v>
      </c>
      <c r="F5518" s="2">
        <v>0.53766550000000002</v>
      </c>
    </row>
    <row r="5519" spans="1:6" x14ac:dyDescent="0.25">
      <c r="A5519" t="s">
        <v>10</v>
      </c>
      <c r="B5519" s="5" t="str">
        <f>HYPERLINK("http://www.broadinstitute.org/gsea/msigdb/cards/REACTOME_REGULATION_OF_TP53_ACTIVITY_THROUGH_ACETYLATION.html","REACTOME_REGULATION_OF_TP53_ACTIVITY_THROUGH_ACETYLATION")</f>
        <v>REACTOME_REGULATION_OF_TP53_ACTIVITY_THROUGH_ACETYLATION</v>
      </c>
      <c r="C5519" s="4">
        <v>29</v>
      </c>
      <c r="D5519" s="3">
        <v>-1.1007259</v>
      </c>
      <c r="E5519" s="1">
        <v>0.29667519999999997</v>
      </c>
      <c r="F5519" s="2">
        <v>0.53814899999999999</v>
      </c>
    </row>
    <row r="5520" spans="1:6" x14ac:dyDescent="0.25">
      <c r="A5520" t="s">
        <v>10</v>
      </c>
      <c r="B5520" s="5" t="str">
        <f>HYPERLINK("http://www.broadinstitute.org/gsea/msigdb/cards/REACTOME_DNA_DOUBLE_STRAND_BREAK_RESPONSE.html","REACTOME_DNA_DOUBLE_STRAND_BREAK_RESPONSE")</f>
        <v>REACTOME_DNA_DOUBLE_STRAND_BREAK_RESPONSE</v>
      </c>
      <c r="C5520" s="4">
        <v>70</v>
      </c>
      <c r="D5520" s="3">
        <v>-1.1017557</v>
      </c>
      <c r="E5520" s="1">
        <v>0.24804177999999999</v>
      </c>
      <c r="F5520" s="2">
        <v>0.53593069999999998</v>
      </c>
    </row>
    <row r="5521" spans="1:6" x14ac:dyDescent="0.25">
      <c r="A5521" t="s">
        <v>6</v>
      </c>
      <c r="B5521" s="5" t="str">
        <f>HYPERLINK("http://www.broadinstitute.org/gsea/msigdb/cards/GOBP_TRANSMISSION_OF_NERVE_IMPULSE.html","GOBP_TRANSMISSION_OF_NERVE_IMPULSE")</f>
        <v>GOBP_TRANSMISSION_OF_NERVE_IMPULSE</v>
      </c>
      <c r="C5521" s="4">
        <v>99</v>
      </c>
      <c r="D5521" s="3">
        <v>-1.1018467999999999</v>
      </c>
      <c r="E5521" s="1">
        <v>0.23380281</v>
      </c>
      <c r="F5521" s="2">
        <v>0.53617232999999997</v>
      </c>
    </row>
    <row r="5522" spans="1:6" x14ac:dyDescent="0.25">
      <c r="A5522" t="s">
        <v>7</v>
      </c>
      <c r="B5522" s="5" t="str">
        <f>HYPERLINK("http://www.broadinstitute.org/gsea/msigdb/cards/GOCC_CONDENSED_CHROMOSOME.html","GOCC_CONDENSED_CHROMOSOME")</f>
        <v>GOCC_CONDENSED_CHROMOSOME</v>
      </c>
      <c r="C5522" s="4">
        <v>284</v>
      </c>
      <c r="D5522" s="3">
        <v>-1.1020559000000001</v>
      </c>
      <c r="E5522" s="1">
        <v>0.16525424</v>
      </c>
      <c r="F5522" s="2">
        <v>0.53607249999999995</v>
      </c>
    </row>
    <row r="5523" spans="1:6" x14ac:dyDescent="0.25">
      <c r="A5523" t="s">
        <v>6</v>
      </c>
      <c r="B5523" s="5" t="str">
        <f>HYPERLINK("http://www.broadinstitute.org/gsea/msigdb/cards/GOBP_REGULATION_OF_CYTOKINESIS.html","GOBP_REGULATION_OF_CYTOKINESIS")</f>
        <v>GOBP_REGULATION_OF_CYTOKINESIS</v>
      </c>
      <c r="C5523" s="4">
        <v>86</v>
      </c>
      <c r="D5523" s="3">
        <v>-1.1022164000000001</v>
      </c>
      <c r="E5523" s="1">
        <v>0.25479449999999998</v>
      </c>
      <c r="F5523" s="2">
        <v>0.53614569999999995</v>
      </c>
    </row>
    <row r="5524" spans="1:6" x14ac:dyDescent="0.25">
      <c r="A5524" t="s">
        <v>6</v>
      </c>
      <c r="B5524" s="5" t="str">
        <f>HYPERLINK("http://www.broadinstitute.org/gsea/msigdb/cards/GOBP_POSITIVE_REGULATION_OF_CYTOKINESIS.html","GOBP_POSITIVE_REGULATION_OF_CYTOKINESIS")</f>
        <v>GOBP_POSITIVE_REGULATION_OF_CYTOKINESIS</v>
      </c>
      <c r="C5524" s="4">
        <v>41</v>
      </c>
      <c r="D5524" s="3">
        <v>-1.1037787999999999</v>
      </c>
      <c r="E5524" s="1">
        <v>0.29539295999999998</v>
      </c>
      <c r="F5524" s="2">
        <v>0.53253055000000005</v>
      </c>
    </row>
    <row r="5525" spans="1:6" x14ac:dyDescent="0.25">
      <c r="A5525" t="s">
        <v>7</v>
      </c>
      <c r="B5525" s="5" t="str">
        <f>HYPERLINK("http://www.broadinstitute.org/gsea/msigdb/cards/GOCC_MRNA_CLEAVAGE_FACTOR_COMPLEX.html","GOCC_MRNA_CLEAVAGE_FACTOR_COMPLEX")</f>
        <v>GOCC_MRNA_CLEAVAGE_FACTOR_COMPLEX</v>
      </c>
      <c r="C5525" s="4">
        <v>24</v>
      </c>
      <c r="D5525" s="3">
        <v>-1.1042985999999999</v>
      </c>
      <c r="E5525" s="1">
        <v>0.31026252999999998</v>
      </c>
      <c r="F5525" s="2">
        <v>0.53156570000000003</v>
      </c>
    </row>
    <row r="5526" spans="1:6" x14ac:dyDescent="0.25">
      <c r="A5526" t="s">
        <v>6</v>
      </c>
      <c r="B5526" s="5" t="str">
        <f>HYPERLINK("http://www.broadinstitute.org/gsea/msigdb/cards/GOBP_NUCLEAR_TRANSCRIBED_MRNA_CATABOLIC_PROCESS_DEADENYLATION_DEPENDENT_DECAY.html","GOBP_NUCLEAR_TRANSCRIBED_MRNA_CATABOLIC_PROCESS_DEADENYLATION_DEPENDENT_DECAY")</f>
        <v>GOBP_NUCLEAR_TRANSCRIBED_MRNA_CATABOLIC_PROCESS_DEADENYLATION_DEPENDENT_DECAY</v>
      </c>
      <c r="C5526" s="4">
        <v>61</v>
      </c>
      <c r="D5526" s="3">
        <v>-1.1043897</v>
      </c>
      <c r="E5526" s="1">
        <v>0.26259947</v>
      </c>
      <c r="F5526" s="2">
        <v>0.53179436999999996</v>
      </c>
    </row>
    <row r="5527" spans="1:6" x14ac:dyDescent="0.25">
      <c r="A5527" t="s">
        <v>8</v>
      </c>
      <c r="B5527" s="5" t="str">
        <f>HYPERLINK("http://www.broadinstitute.org/gsea/msigdb/cards/GOMF_K63_LINKED_POLYUBIQUITIN_MODIFICATION_DEPENDENT_PROTEIN_BINDING.html","GOMF_K63_LINKED_POLYUBIQUITIN_MODIFICATION_DEPENDENT_PROTEIN_BINDING")</f>
        <v>GOMF_K63_LINKED_POLYUBIQUITIN_MODIFICATION_DEPENDENT_PROTEIN_BINDING</v>
      </c>
      <c r="C5527" s="4">
        <v>25</v>
      </c>
      <c r="D5527" s="3">
        <v>-1.1044148</v>
      </c>
      <c r="E5527" s="1">
        <v>0.31219511999999999</v>
      </c>
      <c r="F5527" s="2">
        <v>0.53221404999999999</v>
      </c>
    </row>
    <row r="5528" spans="1:6" x14ac:dyDescent="0.25">
      <c r="A5528" t="s">
        <v>7</v>
      </c>
      <c r="B5528" s="5" t="str">
        <f>HYPERLINK("http://www.broadinstitute.org/gsea/msigdb/cards/GOCC_SITE_OF_DNA_DAMAGE.html","GOCC_SITE_OF_DNA_DAMAGE")</f>
        <v>GOCC_SITE_OF_DNA_DAMAGE</v>
      </c>
      <c r="C5528" s="4">
        <v>111</v>
      </c>
      <c r="D5528" s="3">
        <v>-1.1045807999999999</v>
      </c>
      <c r="E5528" s="1">
        <v>0.22485206999999999</v>
      </c>
      <c r="F5528" s="2">
        <v>0.53224146000000006</v>
      </c>
    </row>
    <row r="5529" spans="1:6" x14ac:dyDescent="0.25">
      <c r="A5529" t="s">
        <v>6</v>
      </c>
      <c r="B5529" s="5" t="str">
        <f>HYPERLINK("http://www.broadinstitute.org/gsea/msigdb/cards/GOBP_METANEPHROS_DEVELOPMENT.html","GOBP_METANEPHROS_DEVELOPMENT")</f>
        <v>GOBP_METANEPHROS_DEVELOPMENT</v>
      </c>
      <c r="C5529" s="4">
        <v>89</v>
      </c>
      <c r="D5529" s="3">
        <v>-1.1049180000000001</v>
      </c>
      <c r="E5529" s="1">
        <v>0.24332345</v>
      </c>
      <c r="F5529" s="2">
        <v>0.53183745999999998</v>
      </c>
    </row>
    <row r="5530" spans="1:6" x14ac:dyDescent="0.25">
      <c r="A5530" t="s">
        <v>8</v>
      </c>
      <c r="B5530" s="5" t="str">
        <f>HYPERLINK("http://www.broadinstitute.org/gsea/msigdb/cards/GOMF_OXIDOREDUCTASE_ACTIVITY_ACTING_ON_THE_CH_CH_GROUP_OF_DONORS.html","GOMF_OXIDOREDUCTASE_ACTIVITY_ACTING_ON_THE_CH_CH_GROUP_OF_DONORS")</f>
        <v>GOMF_OXIDOREDUCTASE_ACTIVITY_ACTING_ON_THE_CH_CH_GROUP_OF_DONORS</v>
      </c>
      <c r="C5530" s="4">
        <v>62</v>
      </c>
      <c r="D5530" s="3">
        <v>-1.1053949999999999</v>
      </c>
      <c r="E5530" s="1">
        <v>0.24109589000000001</v>
      </c>
      <c r="F5530" s="2">
        <v>0.53109187000000002</v>
      </c>
    </row>
    <row r="5531" spans="1:6" x14ac:dyDescent="0.25">
      <c r="A5531" t="s">
        <v>7</v>
      </c>
      <c r="B5531" s="5" t="str">
        <f>HYPERLINK("http://www.broadinstitute.org/gsea/msigdb/cards/GOCC_SYNAPTIC_MEMBRANE.html","GOCC_SYNAPTIC_MEMBRANE")</f>
        <v>GOCC_SYNAPTIC_MEMBRANE</v>
      </c>
      <c r="C5531" s="4">
        <v>499</v>
      </c>
      <c r="D5531" s="3">
        <v>-1.1055318999999999</v>
      </c>
      <c r="E5531" s="1">
        <v>0.102564104</v>
      </c>
      <c r="F5531" s="2">
        <v>0.53122670000000005</v>
      </c>
    </row>
    <row r="5532" spans="1:6" x14ac:dyDescent="0.25">
      <c r="A5532" t="s">
        <v>6</v>
      </c>
      <c r="B5532" s="5" t="str">
        <f>HYPERLINK("http://www.broadinstitute.org/gsea/msigdb/cards/GOBP_REGULATION_OF_CALCIUM_ION_TRANSMEMBRANE_TRANSPORTER_ACTIVITY.html","GOBP_REGULATION_OF_CALCIUM_ION_TRANSMEMBRANE_TRANSPORTER_ACTIVITY")</f>
        <v>GOBP_REGULATION_OF_CALCIUM_ION_TRANSMEMBRANE_TRANSPORTER_ACTIVITY</v>
      </c>
      <c r="C5532" s="4">
        <v>90</v>
      </c>
      <c r="D5532" s="3">
        <v>-1.1056820999999999</v>
      </c>
      <c r="E5532" s="1">
        <v>0.25714287000000002</v>
      </c>
      <c r="F5532" s="2">
        <v>0.53132796000000004</v>
      </c>
    </row>
    <row r="5533" spans="1:6" x14ac:dyDescent="0.25">
      <c r="A5533" t="s">
        <v>6</v>
      </c>
      <c r="B5533" s="5" t="str">
        <f>HYPERLINK("http://www.broadinstitute.org/gsea/msigdb/cards/GOBP_TRANSCRIPTION_INITIATION_AT_RNA_POLYMERASE_II_PROMOTER.html","GOBP_TRANSCRIPTION_INITIATION_AT_RNA_POLYMERASE_II_PROMOTER")</f>
        <v>GOBP_TRANSCRIPTION_INITIATION_AT_RNA_POLYMERASE_II_PROMOTER</v>
      </c>
      <c r="C5533" s="4">
        <v>93</v>
      </c>
      <c r="D5533" s="3">
        <v>-1.1057645</v>
      </c>
      <c r="E5533" s="1">
        <v>0.23303835000000001</v>
      </c>
      <c r="F5533" s="2">
        <v>0.53159886999999995</v>
      </c>
    </row>
    <row r="5534" spans="1:6" x14ac:dyDescent="0.25">
      <c r="A5534" t="s">
        <v>6</v>
      </c>
      <c r="B5534" s="5" t="str">
        <f>HYPERLINK("http://www.broadinstitute.org/gsea/msigdb/cards/GOBP_POSITIVE_REGULATION_OF_HEART_GROWTH.html","GOBP_POSITIVE_REGULATION_OF_HEART_GROWTH")</f>
        <v>GOBP_POSITIVE_REGULATION_OF_HEART_GROWTH</v>
      </c>
      <c r="C5534" s="4">
        <v>49</v>
      </c>
      <c r="D5534" s="3">
        <v>-1.1062745</v>
      </c>
      <c r="E5534" s="1">
        <v>0.28767123999999999</v>
      </c>
      <c r="F5534" s="2">
        <v>0.53079710000000002</v>
      </c>
    </row>
    <row r="5535" spans="1:6" x14ac:dyDescent="0.25">
      <c r="A5535" t="s">
        <v>6</v>
      </c>
      <c r="B5535" s="5" t="str">
        <f>HYPERLINK("http://www.broadinstitute.org/gsea/msigdb/cards/GOBP_POSITIVE_REGULATION_OF_MRNA_PROCESSING.html","GOBP_POSITIVE_REGULATION_OF_MRNA_PROCESSING")</f>
        <v>GOBP_POSITIVE_REGULATION_OF_MRNA_PROCESSING</v>
      </c>
      <c r="C5535" s="4">
        <v>36</v>
      </c>
      <c r="D5535" s="3">
        <v>-1.1064303</v>
      </c>
      <c r="E5535" s="1">
        <v>0.29365079999999999</v>
      </c>
      <c r="F5535" s="2">
        <v>0.5308756</v>
      </c>
    </row>
    <row r="5536" spans="1:6" x14ac:dyDescent="0.25">
      <c r="A5536" t="s">
        <v>6</v>
      </c>
      <c r="B5536" s="5" t="str">
        <f>HYPERLINK("http://www.broadinstitute.org/gsea/msigdb/cards/GOBP_RNA_DESTABILIZATION.html","GOBP_RNA_DESTABILIZATION")</f>
        <v>GOBP_RNA_DESTABILIZATION</v>
      </c>
      <c r="C5536" s="4">
        <v>95</v>
      </c>
      <c r="D5536" s="3">
        <v>-1.1065149999999999</v>
      </c>
      <c r="E5536" s="1">
        <v>0.23529412</v>
      </c>
      <c r="F5536" s="2">
        <v>0.53113586000000002</v>
      </c>
    </row>
    <row r="5537" spans="1:6" x14ac:dyDescent="0.25">
      <c r="A5537" t="s">
        <v>6</v>
      </c>
      <c r="B5537" s="5" t="str">
        <f>HYPERLINK("http://www.broadinstitute.org/gsea/msigdb/cards/GOBP_NUCLEAR_EXPORT.html","GOBP_NUCLEAR_EXPORT")</f>
        <v>GOBP_NUCLEAR_EXPORT</v>
      </c>
      <c r="C5537" s="4">
        <v>162</v>
      </c>
      <c r="D5537" s="3">
        <v>-1.1066461999999999</v>
      </c>
      <c r="E5537" s="1">
        <v>0.21543408999999999</v>
      </c>
      <c r="F5537" s="2">
        <v>0.53128224999999996</v>
      </c>
    </row>
    <row r="5538" spans="1:6" x14ac:dyDescent="0.25">
      <c r="A5538" t="s">
        <v>8</v>
      </c>
      <c r="B5538" s="5" t="str">
        <f>HYPERLINK("http://www.broadinstitute.org/gsea/msigdb/cards/GOMF_GLUTAMATE_RECEPTOR_ACTIVITY.html","GOMF_GLUTAMATE_RECEPTOR_ACTIVITY")</f>
        <v>GOMF_GLUTAMATE_RECEPTOR_ACTIVITY</v>
      </c>
      <c r="C5538" s="4">
        <v>27</v>
      </c>
      <c r="D5538" s="3">
        <v>-1.1071778999999999</v>
      </c>
      <c r="E5538" s="1">
        <v>0.30243903</v>
      </c>
      <c r="F5538" s="2">
        <v>0.53035235000000003</v>
      </c>
    </row>
    <row r="5539" spans="1:6" x14ac:dyDescent="0.25">
      <c r="A5539" t="s">
        <v>6</v>
      </c>
      <c r="B5539" s="5" t="str">
        <f>HYPERLINK("http://www.broadinstitute.org/gsea/msigdb/cards/GOBP_REGULATION_OF_SPINDLE_CHECKPOINT.html","GOBP_REGULATION_OF_SPINDLE_CHECKPOINT")</f>
        <v>GOBP_REGULATION_OF_SPINDLE_CHECKPOINT</v>
      </c>
      <c r="C5539" s="4">
        <v>22</v>
      </c>
      <c r="D5539" s="3">
        <v>-1.1073704</v>
      </c>
      <c r="E5539" s="1">
        <v>0.29927006</v>
      </c>
      <c r="F5539" s="2">
        <v>0.5303601</v>
      </c>
    </row>
    <row r="5540" spans="1:6" x14ac:dyDescent="0.25">
      <c r="A5540" t="s">
        <v>6</v>
      </c>
      <c r="B5540" s="5" t="str">
        <f>HYPERLINK("http://www.broadinstitute.org/gsea/msigdb/cards/GOBP_POSITIVE_REGULATION_OF_AXONOGENESIS.html","GOBP_POSITIVE_REGULATION_OF_AXONOGENESIS")</f>
        <v>GOBP_POSITIVE_REGULATION_OF_AXONOGENESIS</v>
      </c>
      <c r="C5540" s="4">
        <v>99</v>
      </c>
      <c r="D5540" s="3">
        <v>-1.1078216999999999</v>
      </c>
      <c r="E5540" s="1">
        <v>0.24332345</v>
      </c>
      <c r="F5540" s="2">
        <v>0.52961754999999999</v>
      </c>
    </row>
    <row r="5541" spans="1:6" x14ac:dyDescent="0.25">
      <c r="A5541" t="s">
        <v>6</v>
      </c>
      <c r="B5541" s="5" t="str">
        <f>HYPERLINK("http://www.broadinstitute.org/gsea/msigdb/cards/GOBP_DEFINITIVE_HEMOPOIESIS.html","GOBP_DEFINITIVE_HEMOPOIESIS")</f>
        <v>GOBP_DEFINITIVE_HEMOPOIESIS</v>
      </c>
      <c r="C5541" s="4">
        <v>25</v>
      </c>
      <c r="D5541" s="3">
        <v>-1.1079329</v>
      </c>
      <c r="E5541" s="1">
        <v>0.31630170000000002</v>
      </c>
      <c r="F5541" s="2">
        <v>0.52980519999999998</v>
      </c>
    </row>
    <row r="5542" spans="1:6" x14ac:dyDescent="0.25">
      <c r="A5542" t="s">
        <v>10</v>
      </c>
      <c r="B5542" s="5" t="str">
        <f>HYPERLINK("http://www.broadinstitute.org/gsea/msigdb/cards/REACTOME_ESR_MEDIATED_SIGNALING.html","REACTOME_ESR_MEDIATED_SIGNALING")</f>
        <v>REACTOME_ESR_MEDIATED_SIGNALING</v>
      </c>
      <c r="C5542" s="4">
        <v>153</v>
      </c>
      <c r="D5542" s="3">
        <v>-1.1083700999999999</v>
      </c>
      <c r="E5542" s="1">
        <v>0.19435737</v>
      </c>
      <c r="F5542" s="2">
        <v>0.52911600000000003</v>
      </c>
    </row>
    <row r="5543" spans="1:6" x14ac:dyDescent="0.25">
      <c r="A5543" t="s">
        <v>9</v>
      </c>
      <c r="B5543" s="5" t="str">
        <f>HYPERLINK("http://www.broadinstitute.org/gsea/msigdb/cards/HALLMARK_E2F_TARGETS.html","HALLMARK_E2F_TARGETS")</f>
        <v>HALLMARK_E2F_TARGETS</v>
      </c>
      <c r="C5543" s="4">
        <v>198</v>
      </c>
      <c r="D5543" s="3">
        <v>-1.1085548000000001</v>
      </c>
      <c r="E5543" s="1">
        <v>0.17491749000000001</v>
      </c>
      <c r="F5543" s="2">
        <v>0.52913916000000005</v>
      </c>
    </row>
    <row r="5544" spans="1:6" x14ac:dyDescent="0.25">
      <c r="A5544" t="s">
        <v>6</v>
      </c>
      <c r="B5544" s="5" t="str">
        <f>HYPERLINK("http://www.broadinstitute.org/gsea/msigdb/cards/GOBP_DENDRITE_EXTENSION.html","GOBP_DENDRITE_EXTENSION")</f>
        <v>GOBP_DENDRITE_EXTENSION</v>
      </c>
      <c r="C5544" s="4">
        <v>44</v>
      </c>
      <c r="D5544" s="3">
        <v>-1.1086601</v>
      </c>
      <c r="E5544" s="1">
        <v>0.2645631</v>
      </c>
      <c r="F5544" s="2">
        <v>0.52934950000000003</v>
      </c>
    </row>
    <row r="5545" spans="1:6" x14ac:dyDescent="0.25">
      <c r="A5545" t="s">
        <v>10</v>
      </c>
      <c r="B5545" s="5" t="str">
        <f>HYPERLINK("http://www.broadinstitute.org/gsea/msigdb/cards/REACTOME_RECRUITMENT_OF_NUMA_TO_MITOTIC_CENTROSOMES.html","REACTOME_RECRUITMENT_OF_NUMA_TO_MITOTIC_CENTROSOMES")</f>
        <v>REACTOME_RECRUITMENT_OF_NUMA_TO_MITOTIC_CENTROSOMES</v>
      </c>
      <c r="C5545" s="4">
        <v>88</v>
      </c>
      <c r="D5545" s="3">
        <v>-1.1094348000000001</v>
      </c>
      <c r="E5545" s="1">
        <v>0.26628897000000001</v>
      </c>
      <c r="F5545" s="2">
        <v>0.52772759999999996</v>
      </c>
    </row>
    <row r="5546" spans="1:6" x14ac:dyDescent="0.25">
      <c r="A5546" t="s">
        <v>8</v>
      </c>
      <c r="B5546" s="5" t="str">
        <f>HYPERLINK("http://www.broadinstitute.org/gsea/msigdb/cards/GOMF_ACETYLTRANSFERASE_ACTIVITY.html","GOMF_ACETYLTRANSFERASE_ACTIVITY")</f>
        <v>GOMF_ACETYLTRANSFERASE_ACTIVITY</v>
      </c>
      <c r="C5546" s="4">
        <v>97</v>
      </c>
      <c r="D5546" s="3">
        <v>-1.10945</v>
      </c>
      <c r="E5546" s="1">
        <v>0.25210085999999998</v>
      </c>
      <c r="F5546" s="2">
        <v>0.52818114000000005</v>
      </c>
    </row>
    <row r="5547" spans="1:6" x14ac:dyDescent="0.25">
      <c r="A5547" t="s">
        <v>6</v>
      </c>
      <c r="B5547" s="5" t="str">
        <f>HYPERLINK("http://www.broadinstitute.org/gsea/msigdb/cards/GOBP_BRANCHING_INVOLVED_IN_PROSTATE_GLAND_MORPHOGENESIS.html","GOBP_BRANCHING_INVOLVED_IN_PROSTATE_GLAND_MORPHOGENESIS")</f>
        <v>GOBP_BRANCHING_INVOLVED_IN_PROSTATE_GLAND_MORPHOGENESIS</v>
      </c>
      <c r="C5547" s="4">
        <v>15</v>
      </c>
      <c r="D5547" s="3">
        <v>-1.1102506999999999</v>
      </c>
      <c r="E5547" s="1">
        <v>0.3031026</v>
      </c>
      <c r="F5547" s="2">
        <v>0.52663212999999998</v>
      </c>
    </row>
    <row r="5548" spans="1:6" x14ac:dyDescent="0.25">
      <c r="A5548" t="s">
        <v>11</v>
      </c>
      <c r="B5548" s="5" t="str">
        <f>HYPERLINK("http://www.broadinstitute.org/gsea/msigdb/cards/WP_OVARIAN_INFERTILITY.html","WP_OVARIAN_INFERTILITY")</f>
        <v>WP_OVARIAN_INFERTILITY</v>
      </c>
      <c r="C5548" s="4">
        <v>29</v>
      </c>
      <c r="D5548" s="3">
        <v>-1.1107943</v>
      </c>
      <c r="E5548" s="1">
        <v>0.30050504</v>
      </c>
      <c r="F5548" s="2">
        <v>0.52566754999999998</v>
      </c>
    </row>
    <row r="5549" spans="1:6" x14ac:dyDescent="0.25">
      <c r="A5549" t="s">
        <v>8</v>
      </c>
      <c r="B5549" s="5" t="str">
        <f>HYPERLINK("http://www.broadinstitute.org/gsea/msigdb/cards/GOMF_HISTONE_METHYLTRANSFERASE_BINDING.html","GOMF_HISTONE_METHYLTRANSFERASE_BINDING")</f>
        <v>GOMF_HISTONE_METHYLTRANSFERASE_BINDING</v>
      </c>
      <c r="C5549" s="4">
        <v>18</v>
      </c>
      <c r="D5549" s="3">
        <v>-1.1110271</v>
      </c>
      <c r="E5549" s="1">
        <v>0.31642510000000001</v>
      </c>
      <c r="F5549" s="2">
        <v>0.52550649999999999</v>
      </c>
    </row>
    <row r="5550" spans="1:6" x14ac:dyDescent="0.25">
      <c r="A5550" t="s">
        <v>6</v>
      </c>
      <c r="B5550" s="5" t="str">
        <f>HYPERLINK("http://www.broadinstitute.org/gsea/msigdb/cards/GOBP_BASIC_AMINO_ACID_TRANSPORT.html","GOBP_BASIC_AMINO_ACID_TRANSPORT")</f>
        <v>GOBP_BASIC_AMINO_ACID_TRANSPORT</v>
      </c>
      <c r="C5550" s="4">
        <v>17</v>
      </c>
      <c r="D5550" s="3">
        <v>-1.1110895999999999</v>
      </c>
      <c r="E5550" s="1">
        <v>0.31519272999999998</v>
      </c>
      <c r="F5550" s="2">
        <v>0.52583860000000004</v>
      </c>
    </row>
    <row r="5551" spans="1:6" x14ac:dyDescent="0.25">
      <c r="A5551" t="s">
        <v>7</v>
      </c>
      <c r="B5551" s="5" t="str">
        <f>HYPERLINK("http://www.broadinstitute.org/gsea/msigdb/cards/GOCC_MLL1_2_COMPLEX.html","GOCC_MLL1_2_COMPLEX")</f>
        <v>GOCC_MLL1_2_COMPLEX</v>
      </c>
      <c r="C5551" s="4">
        <v>32</v>
      </c>
      <c r="D5551" s="3">
        <v>-1.1110992</v>
      </c>
      <c r="E5551" s="1">
        <v>0.29262674</v>
      </c>
      <c r="F5551" s="2">
        <v>0.52630920000000003</v>
      </c>
    </row>
    <row r="5552" spans="1:6" x14ac:dyDescent="0.25">
      <c r="A5552" t="s">
        <v>6</v>
      </c>
      <c r="B5552" s="5" t="str">
        <f>HYPERLINK("http://www.broadinstitute.org/gsea/msigdb/cards/GOBP_TRANSCRIPTION_BY_RNA_POLYMERASE_III.html","GOBP_TRANSCRIPTION_BY_RNA_POLYMERASE_III")</f>
        <v>GOBP_TRANSCRIPTION_BY_RNA_POLYMERASE_III</v>
      </c>
      <c r="C5552" s="4">
        <v>47</v>
      </c>
      <c r="D5552" s="3">
        <v>-1.1115911999999999</v>
      </c>
      <c r="E5552" s="1">
        <v>0.27884614000000002</v>
      </c>
      <c r="F5552" s="2">
        <v>0.52552973999999997</v>
      </c>
    </row>
    <row r="5553" spans="1:6" x14ac:dyDescent="0.25">
      <c r="A5553" t="s">
        <v>6</v>
      </c>
      <c r="B5553" s="5" t="str">
        <f>HYPERLINK("http://www.broadinstitute.org/gsea/msigdb/cards/GOBP_REGULATION_OF_MITOTIC_CELL_CYCLE_PHASE_TRANSITION.html","GOBP_REGULATION_OF_MITOTIC_CELL_CYCLE_PHASE_TRANSITION")</f>
        <v>GOBP_REGULATION_OF_MITOTIC_CELL_CYCLE_PHASE_TRANSITION</v>
      </c>
      <c r="C5553" s="4">
        <v>329</v>
      </c>
      <c r="D5553" s="3">
        <v>-1.1117326999999999</v>
      </c>
      <c r="E5553" s="1">
        <v>0.14414415</v>
      </c>
      <c r="F5553" s="2">
        <v>0.52563839999999995</v>
      </c>
    </row>
    <row r="5554" spans="1:6" x14ac:dyDescent="0.25">
      <c r="A5554" t="s">
        <v>10</v>
      </c>
      <c r="B5554" s="5" t="str">
        <f>HYPERLINK("http://www.broadinstitute.org/gsea/msigdb/cards/REACTOME_G1_S_TRANSITION.html","REACTOME_G1_S_TRANSITION")</f>
        <v>REACTOME_G1_S_TRANSITION</v>
      </c>
      <c r="C5554" s="4">
        <v>103</v>
      </c>
      <c r="D5554" s="3">
        <v>-1.1121316999999999</v>
      </c>
      <c r="E5554" s="1">
        <v>0.20634921000000001</v>
      </c>
      <c r="F5554" s="2">
        <v>0.52508589999999999</v>
      </c>
    </row>
    <row r="5555" spans="1:6" x14ac:dyDescent="0.25">
      <c r="A5555" t="s">
        <v>10</v>
      </c>
      <c r="B5555" s="5" t="str">
        <f>HYPERLINK("http://www.broadinstitute.org/gsea/msigdb/cards/REACTOME_CRMPS_IN_SEMA3A_SIGNALING.html","REACTOME_CRMPS_IN_SEMA3A_SIGNALING")</f>
        <v>REACTOME_CRMPS_IN_SEMA3A_SIGNALING</v>
      </c>
      <c r="C5555" s="4">
        <v>15</v>
      </c>
      <c r="D5555" s="3">
        <v>-1.1123084000000001</v>
      </c>
      <c r="E5555" s="1">
        <v>0.29787233000000002</v>
      </c>
      <c r="F5555" s="2">
        <v>0.52507139999999997</v>
      </c>
    </row>
    <row r="5556" spans="1:6" x14ac:dyDescent="0.25">
      <c r="A5556" t="s">
        <v>8</v>
      </c>
      <c r="B5556" s="5" t="str">
        <f>HYPERLINK("http://www.broadinstitute.org/gsea/msigdb/cards/GOMF_VOLTAGE_GATED_MONOATOMIC_ION_CHANNEL_ACTIVITY_INVOLVED_IN_REGULATION_OF_PRESYNAPTIC_MEMBRANE_POTENTIAL.html","GOMF_VOLTAGE_GATED_MONOATOMIC_ION_CHANNEL_ACTIVITY_INVOLVED_IN_REGULATION_OF_PRESYNAPTIC_MEMBRANE_POTENTIAL")</f>
        <v>GOMF_VOLTAGE_GATED_MONOATOMIC_ION_CHANNEL_ACTIVITY_INVOLVED_IN_REGULATION_OF_PRESYNAPTIC_MEMBRANE_POTENTIAL</v>
      </c>
      <c r="C5556" s="4">
        <v>17</v>
      </c>
      <c r="D5556" s="3">
        <v>-1.1128587000000001</v>
      </c>
      <c r="E5556" s="1">
        <v>0.28859059999999997</v>
      </c>
      <c r="F5556" s="2">
        <v>0.52411019999999997</v>
      </c>
    </row>
    <row r="5557" spans="1:6" x14ac:dyDescent="0.25">
      <c r="A5557" t="s">
        <v>8</v>
      </c>
      <c r="B5557" s="5" t="str">
        <f>HYPERLINK("http://www.broadinstitute.org/gsea/msigdb/cards/GOMF_NAD_RETINOL_DEHYDROGENASE_ACTIVITY.html","GOMF_NAD_RETINOL_DEHYDROGENASE_ACTIVITY")</f>
        <v>GOMF_NAD_RETINOL_DEHYDROGENASE_ACTIVITY</v>
      </c>
      <c r="C5557" s="4">
        <v>27</v>
      </c>
      <c r="D5557" s="3">
        <v>-1.1133447000000001</v>
      </c>
      <c r="E5557" s="1">
        <v>0.29002319999999998</v>
      </c>
      <c r="F5557" s="2">
        <v>0.52331850000000002</v>
      </c>
    </row>
    <row r="5558" spans="1:6" x14ac:dyDescent="0.25">
      <c r="A5558" t="s">
        <v>6</v>
      </c>
      <c r="B5558" s="5" t="str">
        <f>HYPERLINK("http://www.broadinstitute.org/gsea/msigdb/cards/GOBP_HINDBRAIN_RADIAL_GLIA_GUIDED_CELL_MIGRATION.html","GOBP_HINDBRAIN_RADIAL_GLIA_GUIDED_CELL_MIGRATION")</f>
        <v>GOBP_HINDBRAIN_RADIAL_GLIA_GUIDED_CELL_MIGRATION</v>
      </c>
      <c r="C5558" s="4">
        <v>15</v>
      </c>
      <c r="D5558" s="3">
        <v>-1.1133691999999999</v>
      </c>
      <c r="E5558" s="1">
        <v>0.28310501999999999</v>
      </c>
      <c r="F5558" s="2">
        <v>0.52374880000000001</v>
      </c>
    </row>
    <row r="5559" spans="1:6" x14ac:dyDescent="0.25">
      <c r="A5559" t="s">
        <v>7</v>
      </c>
      <c r="B5559" s="5" t="str">
        <f>HYPERLINK("http://www.broadinstitute.org/gsea/msigdb/cards/GOCC_PHOTORECEPTOR_CONNECTING_CILIUM.html","GOCC_PHOTORECEPTOR_CONNECTING_CILIUM")</f>
        <v>GOCC_PHOTORECEPTOR_CONNECTING_CILIUM</v>
      </c>
      <c r="C5559" s="4">
        <v>46</v>
      </c>
      <c r="D5559" s="3">
        <v>-1.1136131</v>
      </c>
      <c r="E5559" s="1">
        <v>0.27722773000000001</v>
      </c>
      <c r="F5559" s="2">
        <v>0.52361089999999999</v>
      </c>
    </row>
    <row r="5560" spans="1:6" x14ac:dyDescent="0.25">
      <c r="A5560" t="s">
        <v>6</v>
      </c>
      <c r="B5560" s="5" t="str">
        <f>HYPERLINK("http://www.broadinstitute.org/gsea/msigdb/cards/GOBP_SISTER_CHROMATID_SEGREGATION.html","GOBP_SISTER_CHROMATID_SEGREGATION")</f>
        <v>GOBP_SISTER_CHROMATID_SEGREGATION</v>
      </c>
      <c r="C5560" s="4">
        <v>215</v>
      </c>
      <c r="D5560" s="3">
        <v>-1.1141245</v>
      </c>
      <c r="E5560" s="1">
        <v>0.17204301</v>
      </c>
      <c r="F5560" s="2">
        <v>0.52275559999999999</v>
      </c>
    </row>
    <row r="5561" spans="1:6" x14ac:dyDescent="0.25">
      <c r="A5561" t="s">
        <v>6</v>
      </c>
      <c r="B5561" s="5" t="str">
        <f>HYPERLINK("http://www.broadinstitute.org/gsea/msigdb/cards/GOBP_EMBRYONIC_PLACENTA_MORPHOGENESIS.html","GOBP_EMBRYONIC_PLACENTA_MORPHOGENESIS")</f>
        <v>GOBP_EMBRYONIC_PLACENTA_MORPHOGENESIS</v>
      </c>
      <c r="C5561" s="4">
        <v>31</v>
      </c>
      <c r="D5561" s="3">
        <v>-1.1142064</v>
      </c>
      <c r="E5561" s="1">
        <v>0.26847290000000001</v>
      </c>
      <c r="F5561" s="2">
        <v>0.52305840000000003</v>
      </c>
    </row>
    <row r="5562" spans="1:6" x14ac:dyDescent="0.25">
      <c r="A5562" t="s">
        <v>6</v>
      </c>
      <c r="B5562" s="5" t="str">
        <f>HYPERLINK("http://www.broadinstitute.org/gsea/msigdb/cards/GOBP_EMBRYONIC_DIGIT_MORPHOGENESIS.html","GOBP_EMBRYONIC_DIGIT_MORPHOGENESIS")</f>
        <v>GOBP_EMBRYONIC_DIGIT_MORPHOGENESIS</v>
      </c>
      <c r="C5562" s="4">
        <v>72</v>
      </c>
      <c r="D5562" s="3">
        <v>-1.115489</v>
      </c>
      <c r="E5562" s="1">
        <v>0.25507247</v>
      </c>
      <c r="F5562" s="2">
        <v>0.52011185999999998</v>
      </c>
    </row>
    <row r="5563" spans="1:6" x14ac:dyDescent="0.25">
      <c r="A5563" t="s">
        <v>6</v>
      </c>
      <c r="B5563" s="5" t="str">
        <f>HYPERLINK("http://www.broadinstitute.org/gsea/msigdb/cards/GOBP_EXTRACELLULAR_TRANSPORT.html","GOBP_EXTRACELLULAR_TRANSPORT")</f>
        <v>GOBP_EXTRACELLULAR_TRANSPORT</v>
      </c>
      <c r="C5563" s="4">
        <v>47</v>
      </c>
      <c r="D5563" s="3">
        <v>-1.1156123</v>
      </c>
      <c r="E5563" s="1">
        <v>0.26732674000000001</v>
      </c>
      <c r="F5563" s="2">
        <v>0.52027166000000002</v>
      </c>
    </row>
    <row r="5564" spans="1:6" x14ac:dyDescent="0.25">
      <c r="A5564" t="s">
        <v>6</v>
      </c>
      <c r="B5564" s="5" t="str">
        <f>HYPERLINK("http://www.broadinstitute.org/gsea/msigdb/cards/GOBP_NEGATIVE_REGULATION_OF_VASCULAR_ASSOCIATED_SMOOTH_MUSCLE_CELL_PROLIFERATION.html","GOBP_NEGATIVE_REGULATION_OF_VASCULAR_ASSOCIATED_SMOOTH_MUSCLE_CELL_PROLIFERATION")</f>
        <v>GOBP_NEGATIVE_REGULATION_OF_VASCULAR_ASSOCIATED_SMOOTH_MUSCLE_CELL_PROLIFERATION</v>
      </c>
      <c r="C5564" s="4">
        <v>34</v>
      </c>
      <c r="D5564" s="3">
        <v>-1.1160566000000001</v>
      </c>
      <c r="E5564" s="1">
        <v>0.25721785000000003</v>
      </c>
      <c r="F5564" s="2">
        <v>0.51957553999999995</v>
      </c>
    </row>
    <row r="5565" spans="1:6" x14ac:dyDescent="0.25">
      <c r="A5565" t="s">
        <v>8</v>
      </c>
      <c r="B5565" s="5" t="str">
        <f>HYPERLINK("http://www.broadinstitute.org/gsea/msigdb/cards/GOMF_C2H2_ZINC_FINGER_DOMAIN_BINDING.html","GOMF_C2H2_ZINC_FINGER_DOMAIN_BINDING")</f>
        <v>GOMF_C2H2_ZINC_FINGER_DOMAIN_BINDING</v>
      </c>
      <c r="C5565" s="4">
        <v>15</v>
      </c>
      <c r="D5565" s="3">
        <v>-1.1164027000000001</v>
      </c>
      <c r="E5565" s="1">
        <v>0.3051643</v>
      </c>
      <c r="F5565" s="2">
        <v>0.51919990000000005</v>
      </c>
    </row>
    <row r="5566" spans="1:6" x14ac:dyDescent="0.25">
      <c r="A5566" t="s">
        <v>6</v>
      </c>
      <c r="B5566" s="5" t="str">
        <f>HYPERLINK("http://www.broadinstitute.org/gsea/msigdb/cards/GOBP_POSITIVE_REGULATION_OF_SYNAPSE_ASSEMBLY.html","GOBP_POSITIVE_REGULATION_OF_SYNAPSE_ASSEMBLY")</f>
        <v>GOBP_POSITIVE_REGULATION_OF_SYNAPSE_ASSEMBLY</v>
      </c>
      <c r="C5566" s="4">
        <v>81</v>
      </c>
      <c r="D5566" s="3">
        <v>-1.1169047000000001</v>
      </c>
      <c r="E5566" s="1">
        <v>0.23913044</v>
      </c>
      <c r="F5566" s="2">
        <v>0.51837116000000005</v>
      </c>
    </row>
    <row r="5567" spans="1:6" x14ac:dyDescent="0.25">
      <c r="A5567" t="s">
        <v>6</v>
      </c>
      <c r="B5567" s="5" t="str">
        <f>HYPERLINK("http://www.broadinstitute.org/gsea/msigdb/cards/GOBP_INTERMEDIATE_FILAMENT_BASED_PROCESS.html","GOBP_INTERMEDIATE_FILAMENT_BASED_PROCESS")</f>
        <v>GOBP_INTERMEDIATE_FILAMENT_BASED_PROCESS</v>
      </c>
      <c r="C5567" s="4">
        <v>93</v>
      </c>
      <c r="D5567" s="3">
        <v>-1.1169572999999999</v>
      </c>
      <c r="E5567" s="1">
        <v>0.23756906</v>
      </c>
      <c r="F5567" s="2">
        <v>0.51872927000000002</v>
      </c>
    </row>
    <row r="5568" spans="1:6" x14ac:dyDescent="0.25">
      <c r="A5568" t="s">
        <v>6</v>
      </c>
      <c r="B5568" s="5" t="str">
        <f>HYPERLINK("http://www.broadinstitute.org/gsea/msigdb/cards/GOBP_NCRNA_TRANSCRIPTION.html","GOBP_NCRNA_TRANSCRIPTION")</f>
        <v>GOBP_NCRNA_TRANSCRIPTION</v>
      </c>
      <c r="C5568" s="4">
        <v>136</v>
      </c>
      <c r="D5568" s="3">
        <v>-1.1170547</v>
      </c>
      <c r="E5568" s="1">
        <v>0.19798657</v>
      </c>
      <c r="F5568" s="2">
        <v>0.51894390000000001</v>
      </c>
    </row>
    <row r="5569" spans="1:6" x14ac:dyDescent="0.25">
      <c r="A5569" t="s">
        <v>10</v>
      </c>
      <c r="B5569" s="5" t="str">
        <f>HYPERLINK("http://www.broadinstitute.org/gsea/msigdb/cards/REACTOME_MYOGENESIS.html","REACTOME_MYOGENESIS")</f>
        <v>REACTOME_MYOGENESIS</v>
      </c>
      <c r="C5569" s="4">
        <v>24</v>
      </c>
      <c r="D5569" s="3">
        <v>-1.1173898</v>
      </c>
      <c r="E5569" s="1">
        <v>0.29539952000000003</v>
      </c>
      <c r="F5569" s="2">
        <v>0.51856959999999996</v>
      </c>
    </row>
    <row r="5570" spans="1:6" x14ac:dyDescent="0.25">
      <c r="A5570" t="s">
        <v>6</v>
      </c>
      <c r="B5570" s="5" t="str">
        <f>HYPERLINK("http://www.broadinstitute.org/gsea/msigdb/cards/GOBP_LABYRINTHINE_LAYER_MORPHOGENESIS.html","GOBP_LABYRINTHINE_LAYER_MORPHOGENESIS")</f>
        <v>GOBP_LABYRINTHINE_LAYER_MORPHOGENESIS</v>
      </c>
      <c r="C5570" s="4">
        <v>26</v>
      </c>
      <c r="D5570" s="3">
        <v>-1.1175634999999999</v>
      </c>
      <c r="E5570" s="1">
        <v>0.30496454000000001</v>
      </c>
      <c r="F5570" s="2">
        <v>0.51862573999999995</v>
      </c>
    </row>
    <row r="5571" spans="1:6" x14ac:dyDescent="0.25">
      <c r="A5571" t="s">
        <v>6</v>
      </c>
      <c r="B5571" s="5" t="str">
        <f>HYPERLINK("http://www.broadinstitute.org/gsea/msigdb/cards/GOBP_REGULATION_OF_NEUROTRANSMITTER_RECEPTOR_ACTIVITY.html","GOBP_REGULATION_OF_NEUROTRANSMITTER_RECEPTOR_ACTIVITY")</f>
        <v>GOBP_REGULATION_OF_NEUROTRANSMITTER_RECEPTOR_ACTIVITY</v>
      </c>
      <c r="C5571" s="4">
        <v>64</v>
      </c>
      <c r="D5571" s="3">
        <v>-1.1183202999999999</v>
      </c>
      <c r="E5571" s="1">
        <v>0.23863635999999999</v>
      </c>
      <c r="F5571" s="2">
        <v>0.51711666999999994</v>
      </c>
    </row>
    <row r="5572" spans="1:6" x14ac:dyDescent="0.25">
      <c r="A5572" t="s">
        <v>6</v>
      </c>
      <c r="B5572" s="5" t="str">
        <f>HYPERLINK("http://www.broadinstitute.org/gsea/msigdb/cards/GOBP_NEGATIVE_REGULATION_OF_ASTROCYTE_DIFFERENTIATION.html","GOBP_NEGATIVE_REGULATION_OF_ASTROCYTE_DIFFERENTIATION")</f>
        <v>GOBP_NEGATIVE_REGULATION_OF_ASTROCYTE_DIFFERENTIATION</v>
      </c>
      <c r="C5572" s="4">
        <v>20</v>
      </c>
      <c r="D5572" s="3">
        <v>-1.1184864000000001</v>
      </c>
      <c r="E5572" s="1">
        <v>0.30232557999999998</v>
      </c>
      <c r="F5572" s="2">
        <v>0.51720520000000003</v>
      </c>
    </row>
    <row r="5573" spans="1:6" x14ac:dyDescent="0.25">
      <c r="A5573" t="s">
        <v>6</v>
      </c>
      <c r="B5573" s="5" t="str">
        <f>HYPERLINK("http://www.broadinstitute.org/gsea/msigdb/cards/GOBP_CELL_PROLIFERATION_IN_FOREBRAIN.html","GOBP_CELL_PROLIFERATION_IN_FOREBRAIN")</f>
        <v>GOBP_CELL_PROLIFERATION_IN_FOREBRAIN</v>
      </c>
      <c r="C5573" s="4">
        <v>38</v>
      </c>
      <c r="D5573" s="3">
        <v>-1.1199117000000001</v>
      </c>
      <c r="E5573" s="1">
        <v>0.27088605999999998</v>
      </c>
      <c r="F5573" s="2">
        <v>0.51388120000000004</v>
      </c>
    </row>
    <row r="5574" spans="1:6" x14ac:dyDescent="0.25">
      <c r="A5574" t="s">
        <v>8</v>
      </c>
      <c r="B5574" s="5" t="str">
        <f>HYPERLINK("http://www.broadinstitute.org/gsea/msigdb/cards/GOMF_TRANSLATION_INITIATION_FACTOR_ACTIVITY.html","GOMF_TRANSLATION_INITIATION_FACTOR_ACTIVITY")</f>
        <v>GOMF_TRANSLATION_INITIATION_FACTOR_ACTIVITY</v>
      </c>
      <c r="C5574" s="4">
        <v>47</v>
      </c>
      <c r="D5574" s="3">
        <v>-1.1224072</v>
      </c>
      <c r="E5574" s="1">
        <v>0.27272728000000002</v>
      </c>
      <c r="F5574" s="2">
        <v>0.50793569999999999</v>
      </c>
    </row>
    <row r="5575" spans="1:6" x14ac:dyDescent="0.25">
      <c r="A5575" t="s">
        <v>6</v>
      </c>
      <c r="B5575" s="5" t="str">
        <f>HYPERLINK("http://www.broadinstitute.org/gsea/msigdb/cards/GOBP_TYPE_B_PANCREATIC_CELL_APOPTOTIC_PROCESS.html","GOBP_TYPE_B_PANCREATIC_CELL_APOPTOTIC_PROCESS")</f>
        <v>GOBP_TYPE_B_PANCREATIC_CELL_APOPTOTIC_PROCESS</v>
      </c>
      <c r="C5575" s="4">
        <v>17</v>
      </c>
      <c r="D5575" s="3">
        <v>-1.1228952000000001</v>
      </c>
      <c r="E5575" s="1">
        <v>0.28008752999999997</v>
      </c>
      <c r="F5575" s="2">
        <v>0.50718284000000002</v>
      </c>
    </row>
    <row r="5576" spans="1:6" x14ac:dyDescent="0.25">
      <c r="A5576" t="s">
        <v>6</v>
      </c>
      <c r="B5576" s="5" t="str">
        <f>HYPERLINK("http://www.broadinstitute.org/gsea/msigdb/cards/GOBP_REGULATION_OF_MITOCHONDRIAL_MEMBRANE_PERMEABILITY.html","GOBP_REGULATION_OF_MITOCHONDRIAL_MEMBRANE_PERMEABILITY")</f>
        <v>GOBP_REGULATION_OF_MITOCHONDRIAL_MEMBRANE_PERMEABILITY</v>
      </c>
      <c r="C5576" s="4">
        <v>60</v>
      </c>
      <c r="D5576" s="3">
        <v>-1.1236279</v>
      </c>
      <c r="E5576" s="1">
        <v>0.23404256000000001</v>
      </c>
      <c r="F5576" s="2">
        <v>0.50578270000000003</v>
      </c>
    </row>
    <row r="5577" spans="1:6" x14ac:dyDescent="0.25">
      <c r="A5577" t="s">
        <v>6</v>
      </c>
      <c r="B5577" s="5" t="str">
        <f>HYPERLINK("http://www.broadinstitute.org/gsea/msigdb/cards/GOBP_NUCLEAR_BODY_ORGANIZATION.html","GOBP_NUCLEAR_BODY_ORGANIZATION")</f>
        <v>GOBP_NUCLEAR_BODY_ORGANIZATION</v>
      </c>
      <c r="C5577" s="4">
        <v>17</v>
      </c>
      <c r="D5577" s="3">
        <v>-1.1239159000000001</v>
      </c>
      <c r="E5577" s="1">
        <v>0.28767123999999999</v>
      </c>
      <c r="F5577" s="2">
        <v>0.50551740000000001</v>
      </c>
    </row>
    <row r="5578" spans="1:6" x14ac:dyDescent="0.25">
      <c r="A5578" t="s">
        <v>10</v>
      </c>
      <c r="B5578" s="5" t="str">
        <f>HYPERLINK("http://www.broadinstitute.org/gsea/msigdb/cards/REACTOME_NEDDYLATION.html","REACTOME_NEDDYLATION")</f>
        <v>REACTOME_NEDDYLATION</v>
      </c>
      <c r="C5578" s="4">
        <v>224</v>
      </c>
      <c r="D5578" s="3">
        <v>-1.1243528</v>
      </c>
      <c r="E5578" s="1">
        <v>0.13402061000000001</v>
      </c>
      <c r="F5578" s="2">
        <v>0.50488980000000006</v>
      </c>
    </row>
    <row r="5579" spans="1:6" x14ac:dyDescent="0.25">
      <c r="A5579" t="s">
        <v>6</v>
      </c>
      <c r="B5579" s="5" t="str">
        <f>HYPERLINK("http://www.broadinstitute.org/gsea/msigdb/cards/GOBP_OLIGODENDROCYTE_DEVELOPMENT.html","GOBP_OLIGODENDROCYTE_DEVELOPMENT")</f>
        <v>GOBP_OLIGODENDROCYTE_DEVELOPMENT</v>
      </c>
      <c r="C5579" s="4">
        <v>48</v>
      </c>
      <c r="D5579" s="3">
        <v>-1.1246727000000001</v>
      </c>
      <c r="E5579" s="1">
        <v>0.23989218000000001</v>
      </c>
      <c r="F5579" s="2">
        <v>0.50455179999999999</v>
      </c>
    </row>
    <row r="5580" spans="1:6" x14ac:dyDescent="0.25">
      <c r="A5580" t="s">
        <v>6</v>
      </c>
      <c r="B5580" s="5" t="str">
        <f>HYPERLINK("http://www.broadinstitute.org/gsea/msigdb/cards/GOBP_RELAXATION_OF_CARDIAC_MUSCLE.html","GOBP_RELAXATION_OF_CARDIAC_MUSCLE")</f>
        <v>GOBP_RELAXATION_OF_CARDIAC_MUSCLE</v>
      </c>
      <c r="C5580" s="4">
        <v>16</v>
      </c>
      <c r="D5580" s="3">
        <v>-1.1249007</v>
      </c>
      <c r="E5580" s="1">
        <v>0.28607595000000002</v>
      </c>
      <c r="F5580" s="2">
        <v>0.50439953999999998</v>
      </c>
    </row>
    <row r="5581" spans="1:6" x14ac:dyDescent="0.25">
      <c r="A5581" t="s">
        <v>8</v>
      </c>
      <c r="B5581" s="5" t="str">
        <f>HYPERLINK("http://www.broadinstitute.org/gsea/msigdb/cards/GOMF_PROTEIN_CARRIER_CHAPERONE.html","GOMF_PROTEIN_CARRIER_CHAPERONE")</f>
        <v>GOMF_PROTEIN_CARRIER_CHAPERONE</v>
      </c>
      <c r="C5581" s="4">
        <v>34</v>
      </c>
      <c r="D5581" s="3">
        <v>-1.124994</v>
      </c>
      <c r="E5581" s="1">
        <v>0.25</v>
      </c>
      <c r="F5581" s="2">
        <v>0.50464856999999996</v>
      </c>
    </row>
    <row r="5582" spans="1:6" x14ac:dyDescent="0.25">
      <c r="A5582" t="s">
        <v>6</v>
      </c>
      <c r="B5582" s="5" t="str">
        <f>HYPERLINK("http://www.broadinstitute.org/gsea/msigdb/cards/GOBP_POSITIVE_REGULATION_OF_DEVELOPMENTAL_GROWTH.html","GOBP_POSITIVE_REGULATION_OF_DEVELOPMENTAL_GROWTH")</f>
        <v>GOBP_POSITIVE_REGULATION_OF_DEVELOPMENTAL_GROWTH</v>
      </c>
      <c r="C5582" s="4">
        <v>215</v>
      </c>
      <c r="D5582" s="3">
        <v>-1.1250180999999999</v>
      </c>
      <c r="E5582" s="1">
        <v>0.14716981000000001</v>
      </c>
      <c r="F5582" s="2">
        <v>0.50506930000000005</v>
      </c>
    </row>
    <row r="5583" spans="1:6" x14ac:dyDescent="0.25">
      <c r="A5583" t="s">
        <v>10</v>
      </c>
      <c r="B5583" s="5" t="str">
        <f>HYPERLINK("http://www.broadinstitute.org/gsea/msigdb/cards/REACTOME_RHOBTB_GTPASE_CYCLE.html","REACTOME_RHOBTB_GTPASE_CYCLE")</f>
        <v>REACTOME_RHOBTB_GTPASE_CYCLE</v>
      </c>
      <c r="C5583" s="4">
        <v>34</v>
      </c>
      <c r="D5583" s="3">
        <v>-1.1258843999999999</v>
      </c>
      <c r="E5583" s="1">
        <v>0.25609756</v>
      </c>
      <c r="F5583" s="2">
        <v>0.50328165000000002</v>
      </c>
    </row>
    <row r="5584" spans="1:6" x14ac:dyDescent="0.25">
      <c r="A5584" t="s">
        <v>7</v>
      </c>
      <c r="B5584" s="5" t="str">
        <f>HYPERLINK("http://www.broadinstitute.org/gsea/msigdb/cards/GOCC_CYTOPLASMIC_DYNEIN_COMPLEX.html","GOCC_CYTOPLASMIC_DYNEIN_COMPLEX")</f>
        <v>GOCC_CYTOPLASMIC_DYNEIN_COMPLEX</v>
      </c>
      <c r="C5584" s="4">
        <v>27</v>
      </c>
      <c r="D5584" s="3">
        <v>-1.1261734000000001</v>
      </c>
      <c r="E5584" s="1">
        <v>0.27314814999999998</v>
      </c>
      <c r="F5584" s="2">
        <v>0.50302579999999997</v>
      </c>
    </row>
    <row r="5585" spans="1:6" x14ac:dyDescent="0.25">
      <c r="A5585" t="s">
        <v>6</v>
      </c>
      <c r="B5585" s="5" t="str">
        <f>HYPERLINK("http://www.broadinstitute.org/gsea/msigdb/cards/GOBP_MAMMARY_GLAND_EPITHELIAL_CELL_DIFFERENTIATION.html","GOBP_MAMMARY_GLAND_EPITHELIAL_CELL_DIFFERENTIATION")</f>
        <v>GOBP_MAMMARY_GLAND_EPITHELIAL_CELL_DIFFERENTIATION</v>
      </c>
      <c r="C5585" s="4">
        <v>16</v>
      </c>
      <c r="D5585" s="3">
        <v>-1.1263627</v>
      </c>
      <c r="E5585" s="1">
        <v>0.29573935000000001</v>
      </c>
      <c r="F5585" s="2">
        <v>0.50300836999999998</v>
      </c>
    </row>
    <row r="5586" spans="1:6" x14ac:dyDescent="0.25">
      <c r="A5586" t="s">
        <v>10</v>
      </c>
      <c r="B5586" s="5" t="str">
        <f>HYPERLINK("http://www.broadinstitute.org/gsea/msigdb/cards/REACTOME_M_PHASE.html","REACTOME_M_PHASE")</f>
        <v>REACTOME_M_PHASE</v>
      </c>
      <c r="C5586" s="4">
        <v>376</v>
      </c>
      <c r="D5586" s="3">
        <v>-1.1270195999999999</v>
      </c>
      <c r="E5586" s="1">
        <v>0.11206896600000001</v>
      </c>
      <c r="F5586" s="2">
        <v>0.50176615000000002</v>
      </c>
    </row>
    <row r="5587" spans="1:6" x14ac:dyDescent="0.25">
      <c r="A5587" t="s">
        <v>6</v>
      </c>
      <c r="B5587" s="5" t="str">
        <f>HYPERLINK("http://www.broadinstitute.org/gsea/msigdb/cards/GOBP_RECEPTOR_LOCALIZATION_TO_SYNAPSE.html","GOBP_RECEPTOR_LOCALIZATION_TO_SYNAPSE")</f>
        <v>GOBP_RECEPTOR_LOCALIZATION_TO_SYNAPSE</v>
      </c>
      <c r="C5587" s="4">
        <v>87</v>
      </c>
      <c r="D5587" s="3">
        <v>-1.1274279</v>
      </c>
      <c r="E5587" s="1">
        <v>0.22530864</v>
      </c>
      <c r="F5587" s="2">
        <v>0.50121320000000003</v>
      </c>
    </row>
    <row r="5588" spans="1:6" x14ac:dyDescent="0.25">
      <c r="A5588" t="s">
        <v>10</v>
      </c>
      <c r="B5588" s="5" t="str">
        <f>HYPERLINK("http://www.broadinstitute.org/gsea/msigdb/cards/REACTOME_S_PHASE.html","REACTOME_S_PHASE")</f>
        <v>REACTOME_S_PHASE</v>
      </c>
      <c r="C5588" s="4">
        <v>146</v>
      </c>
      <c r="D5588" s="3">
        <v>-1.1276994</v>
      </c>
      <c r="E5588" s="1">
        <v>0.17973856999999999</v>
      </c>
      <c r="F5588" s="2">
        <v>0.50099669999999996</v>
      </c>
    </row>
    <row r="5589" spans="1:6" x14ac:dyDescent="0.25">
      <c r="A5589" t="s">
        <v>10</v>
      </c>
      <c r="B5589" s="5" t="str">
        <f>HYPERLINK("http://www.broadinstitute.org/gsea/msigdb/cards/REACTOME_SIGNALING_BY_HEDGEHOG.html","REACTOME_SIGNALING_BY_HEDGEHOG")</f>
        <v>REACTOME_SIGNALING_BY_HEDGEHOG</v>
      </c>
      <c r="C5589" s="4">
        <v>139</v>
      </c>
      <c r="D5589" s="3">
        <v>-1.1280349999999999</v>
      </c>
      <c r="E5589" s="1">
        <v>0.17940200000000001</v>
      </c>
      <c r="F5589" s="2">
        <v>0.50065386000000001</v>
      </c>
    </row>
    <row r="5590" spans="1:6" x14ac:dyDescent="0.25">
      <c r="A5590" t="s">
        <v>10</v>
      </c>
      <c r="B5590" s="5" t="str">
        <f>HYPERLINK("http://www.broadinstitute.org/gsea/msigdb/cards/REACTOME_CELLULAR_RESPONSES_TO_STIMULI.html","REACTOME_CELLULAR_RESPONSES_TO_STIMULI")</f>
        <v>REACTOME_CELLULAR_RESPONSES_TO_STIMULI</v>
      </c>
      <c r="C5590" s="4">
        <v>446</v>
      </c>
      <c r="D5590" s="3">
        <v>-1.1285288</v>
      </c>
      <c r="E5590" s="1">
        <v>6.9767444999999997E-2</v>
      </c>
      <c r="F5590" s="2">
        <v>0.49986055000000001</v>
      </c>
    </row>
    <row r="5591" spans="1:6" x14ac:dyDescent="0.25">
      <c r="A5591" t="s">
        <v>6</v>
      </c>
      <c r="B5591" s="5" t="str">
        <f>HYPERLINK("http://www.broadinstitute.org/gsea/msigdb/cards/GOBP_NEGATIVE_REGULATION_OF_PROTEOLYSIS_INVOLVED_IN_PROTEIN_CATABOLIC_PROCESS.html","GOBP_NEGATIVE_REGULATION_OF_PROTEOLYSIS_INVOLVED_IN_PROTEIN_CATABOLIC_PROCESS")</f>
        <v>GOBP_NEGATIVE_REGULATION_OF_PROTEOLYSIS_INVOLVED_IN_PROTEIN_CATABOLIC_PROCESS</v>
      </c>
      <c r="C5591" s="4">
        <v>68</v>
      </c>
      <c r="D5591" s="3">
        <v>-1.1286993000000001</v>
      </c>
      <c r="E5591" s="1">
        <v>0.21584700000000001</v>
      </c>
      <c r="F5591" s="2">
        <v>0.49989295</v>
      </c>
    </row>
    <row r="5592" spans="1:6" x14ac:dyDescent="0.25">
      <c r="A5592" t="s">
        <v>6</v>
      </c>
      <c r="B5592" s="5" t="str">
        <f>HYPERLINK("http://www.broadinstitute.org/gsea/msigdb/cards/GOBP_MOTOR_NEURON_APOPTOTIC_PROCESS.html","GOBP_MOTOR_NEURON_APOPTOTIC_PROCESS")</f>
        <v>GOBP_MOTOR_NEURON_APOPTOTIC_PROCESS</v>
      </c>
      <c r="C5592" s="4">
        <v>26</v>
      </c>
      <c r="D5592" s="3">
        <v>-1.1298657999999999</v>
      </c>
      <c r="E5592" s="1">
        <v>0.27819549999999998</v>
      </c>
      <c r="F5592" s="2">
        <v>0.49739483000000001</v>
      </c>
    </row>
    <row r="5593" spans="1:6" x14ac:dyDescent="0.25">
      <c r="A5593" t="s">
        <v>8</v>
      </c>
      <c r="B5593" s="5" t="str">
        <f>HYPERLINK("http://www.broadinstitute.org/gsea/msigdb/cards/GOMF_NUCLEAR_RECEPTOR_ACTIVITY.html","GOMF_NUCLEAR_RECEPTOR_ACTIVITY")</f>
        <v>GOMF_NUCLEAR_RECEPTOR_ACTIVITY</v>
      </c>
      <c r="C5593" s="4">
        <v>53</v>
      </c>
      <c r="D5593" s="3">
        <v>-1.1302137000000001</v>
      </c>
      <c r="E5593" s="1">
        <v>0.22074468</v>
      </c>
      <c r="F5593" s="2">
        <v>0.49696942999999999</v>
      </c>
    </row>
    <row r="5594" spans="1:6" x14ac:dyDescent="0.25">
      <c r="A5594" t="s">
        <v>6</v>
      </c>
      <c r="B5594" s="5" t="str">
        <f>HYPERLINK("http://www.broadinstitute.org/gsea/msigdb/cards/GOBP_POSITIVE_REGULATION_OF_MUSCLE_CELL_DIFFERENTIATION.html","GOBP_POSITIVE_REGULATION_OF_MUSCLE_CELL_DIFFERENTIATION")</f>
        <v>GOBP_POSITIVE_REGULATION_OF_MUSCLE_CELL_DIFFERENTIATION</v>
      </c>
      <c r="C5594" s="4">
        <v>81</v>
      </c>
      <c r="D5594" s="3">
        <v>-1.1304890999999999</v>
      </c>
      <c r="E5594" s="1">
        <v>0.22933333</v>
      </c>
      <c r="F5594" s="2">
        <v>0.49676906999999998</v>
      </c>
    </row>
    <row r="5595" spans="1:6" x14ac:dyDescent="0.25">
      <c r="A5595" t="s">
        <v>7</v>
      </c>
      <c r="B5595" s="5" t="str">
        <f>HYPERLINK("http://www.broadinstitute.org/gsea/msigdb/cards/GOCC_9PLUS0_NON_MOTILE_CILIUM.html","GOCC_9PLUS0_NON_MOTILE_CILIUM")</f>
        <v>GOCC_9PLUS0_NON_MOTILE_CILIUM</v>
      </c>
      <c r="C5595" s="4">
        <v>129</v>
      </c>
      <c r="D5595" s="3">
        <v>-1.1308106</v>
      </c>
      <c r="E5595" s="1">
        <v>0.17218544</v>
      </c>
      <c r="F5595" s="2">
        <v>0.49641696000000002</v>
      </c>
    </row>
    <row r="5596" spans="1:6" x14ac:dyDescent="0.25">
      <c r="A5596" t="s">
        <v>8</v>
      </c>
      <c r="B5596" s="5" t="str">
        <f>HYPERLINK("http://www.broadinstitute.org/gsea/msigdb/cards/GOMF_RNA_ENDONUCLEASE_ACTIVITY_PRODUCING_5_PHOSPHOMONOESTERS.html","GOMF_RNA_ENDONUCLEASE_ACTIVITY_PRODUCING_5_PHOSPHOMONOESTERS")</f>
        <v>GOMF_RNA_ENDONUCLEASE_ACTIVITY_PRODUCING_5_PHOSPHOMONOESTERS</v>
      </c>
      <c r="C5596" s="4">
        <v>27</v>
      </c>
      <c r="D5596" s="3">
        <v>-1.1308415000000001</v>
      </c>
      <c r="E5596" s="1">
        <v>0.28746929999999998</v>
      </c>
      <c r="F5596" s="2">
        <v>0.49682447000000002</v>
      </c>
    </row>
    <row r="5597" spans="1:6" x14ac:dyDescent="0.25">
      <c r="A5597" t="s">
        <v>8</v>
      </c>
      <c r="B5597" s="5" t="str">
        <f>HYPERLINK("http://www.broadinstitute.org/gsea/msigdb/cards/GOMF_MICROTUBULE_PLUS_END_BINDING.html","GOMF_MICROTUBULE_PLUS_END_BINDING")</f>
        <v>GOMF_MICROTUBULE_PLUS_END_BINDING</v>
      </c>
      <c r="C5597" s="4">
        <v>21</v>
      </c>
      <c r="D5597" s="3">
        <v>-1.1309742</v>
      </c>
      <c r="E5597" s="1">
        <v>0.26666667999999999</v>
      </c>
      <c r="F5597" s="2">
        <v>0.49696722999999998</v>
      </c>
    </row>
    <row r="5598" spans="1:6" x14ac:dyDescent="0.25">
      <c r="A5598" t="s">
        <v>6</v>
      </c>
      <c r="B5598" s="5" t="str">
        <f>HYPERLINK("http://www.broadinstitute.org/gsea/msigdb/cards/GOBP_REGULATION_OF_BILE_ACID_METABOLIC_PROCESS.html","GOBP_REGULATION_OF_BILE_ACID_METABOLIC_PROCESS")</f>
        <v>GOBP_REGULATION_OF_BILE_ACID_METABOLIC_PROCESS</v>
      </c>
      <c r="C5598" s="4">
        <v>19</v>
      </c>
      <c r="D5598" s="3">
        <v>-1.131049</v>
      </c>
      <c r="E5598" s="1">
        <v>0.27553444999999999</v>
      </c>
      <c r="F5598" s="2">
        <v>0.49726989999999999</v>
      </c>
    </row>
    <row r="5599" spans="1:6" x14ac:dyDescent="0.25">
      <c r="A5599" t="s">
        <v>6</v>
      </c>
      <c r="B5599" s="5" t="str">
        <f>HYPERLINK("http://www.broadinstitute.org/gsea/msigdb/cards/GOBP_REGULATION_OF_DENDRITIC_SPINE_DEVELOPMENT.html","GOBP_REGULATION_OF_DENDRITIC_SPINE_DEVELOPMENT")</f>
        <v>GOBP_REGULATION_OF_DENDRITIC_SPINE_DEVELOPMENT</v>
      </c>
      <c r="C5599" s="4">
        <v>86</v>
      </c>
      <c r="D5599" s="3">
        <v>-1.1311532</v>
      </c>
      <c r="E5599" s="1">
        <v>0.21676300000000001</v>
      </c>
      <c r="F5599" s="2">
        <v>0.49748550000000002</v>
      </c>
    </row>
    <row r="5600" spans="1:6" x14ac:dyDescent="0.25">
      <c r="A5600" t="s">
        <v>8</v>
      </c>
      <c r="B5600" s="5" t="str">
        <f>HYPERLINK("http://www.broadinstitute.org/gsea/msigdb/cards/GOMF_PROTEIN_KINASE_A_BINDING.html","GOMF_PROTEIN_KINASE_A_BINDING")</f>
        <v>GOMF_PROTEIN_KINASE_A_BINDING</v>
      </c>
      <c r="C5600" s="4">
        <v>54</v>
      </c>
      <c r="D5600" s="3">
        <v>-1.1313663</v>
      </c>
      <c r="E5600" s="1">
        <v>0.21369863</v>
      </c>
      <c r="F5600" s="2">
        <v>0.49739830000000002</v>
      </c>
    </row>
    <row r="5601" spans="1:6" x14ac:dyDescent="0.25">
      <c r="A5601" t="s">
        <v>7</v>
      </c>
      <c r="B5601" s="5" t="str">
        <f>HYPERLINK("http://www.broadinstitute.org/gsea/msigdb/cards/GOCC_PLASMA_MEMBRANE_BOUNDED_CELL_PROJECTION_CYTOPLASM.html","GOCC_PLASMA_MEMBRANE_BOUNDED_CELL_PROJECTION_CYTOPLASM")</f>
        <v>GOCC_PLASMA_MEMBRANE_BOUNDED_CELL_PROJECTION_CYTOPLASM</v>
      </c>
      <c r="C5601" s="4">
        <v>217</v>
      </c>
      <c r="D5601" s="3">
        <v>-1.1314404</v>
      </c>
      <c r="E5601" s="1">
        <v>0.12903224999999999</v>
      </c>
      <c r="F5601" s="2">
        <v>0.49768782</v>
      </c>
    </row>
    <row r="5602" spans="1:6" x14ac:dyDescent="0.25">
      <c r="A5602" t="s">
        <v>7</v>
      </c>
      <c r="B5602" s="5" t="str">
        <f>HYPERLINK("http://www.broadinstitute.org/gsea/msigdb/cards/GOCC_NEUROMUSCULAR_JUNCTION.html","GOCC_NEUROMUSCULAR_JUNCTION")</f>
        <v>GOCC_NEUROMUSCULAR_JUNCTION</v>
      </c>
      <c r="C5602" s="4">
        <v>108</v>
      </c>
      <c r="D5602" s="3">
        <v>-1.1316837</v>
      </c>
      <c r="E5602" s="1">
        <v>0.18457301000000001</v>
      </c>
      <c r="F5602" s="2">
        <v>0.49755347</v>
      </c>
    </row>
    <row r="5603" spans="1:6" x14ac:dyDescent="0.25">
      <c r="A5603" t="s">
        <v>6</v>
      </c>
      <c r="B5603" s="5" t="str">
        <f>HYPERLINK("http://www.broadinstitute.org/gsea/msigdb/cards/GOBP_ENTRAINMENT_OF_CIRCADIAN_CLOCK.html","GOBP_ENTRAINMENT_OF_CIRCADIAN_CLOCK")</f>
        <v>GOBP_ENTRAINMENT_OF_CIRCADIAN_CLOCK</v>
      </c>
      <c r="C5603" s="4">
        <v>26</v>
      </c>
      <c r="D5603" s="3">
        <v>-1.1318060000000001</v>
      </c>
      <c r="E5603" s="1">
        <v>0.26941746</v>
      </c>
      <c r="F5603" s="2">
        <v>0.49771695999999999</v>
      </c>
    </row>
    <row r="5604" spans="1:6" x14ac:dyDescent="0.25">
      <c r="A5604" t="s">
        <v>6</v>
      </c>
      <c r="B5604" s="5" t="str">
        <f>HYPERLINK("http://www.broadinstitute.org/gsea/msigdb/cards/GOBP_STEROID_HORMONE_MEDIATED_SIGNALING_PATHWAY.html","GOBP_STEROID_HORMONE_MEDIATED_SIGNALING_PATHWAY")</f>
        <v>GOBP_STEROID_HORMONE_MEDIATED_SIGNALING_PATHWAY</v>
      </c>
      <c r="C5604" s="4">
        <v>119</v>
      </c>
      <c r="D5604" s="3">
        <v>-1.132163</v>
      </c>
      <c r="E5604" s="1">
        <v>0.18618618000000001</v>
      </c>
      <c r="F5604" s="2">
        <v>0.49731106000000003</v>
      </c>
    </row>
    <row r="5605" spans="1:6" x14ac:dyDescent="0.25">
      <c r="A5605" t="s">
        <v>6</v>
      </c>
      <c r="B5605" s="5" t="str">
        <f>HYPERLINK("http://www.broadinstitute.org/gsea/msigdb/cards/GOBP_POSITIVE_REGULATION_OF_PROTEIN_SUMOYLATION.html","GOBP_POSITIVE_REGULATION_OF_PROTEIN_SUMOYLATION")</f>
        <v>GOBP_POSITIVE_REGULATION_OF_PROTEIN_SUMOYLATION</v>
      </c>
      <c r="C5605" s="4">
        <v>16</v>
      </c>
      <c r="D5605" s="3">
        <v>-1.1326364</v>
      </c>
      <c r="E5605" s="1">
        <v>0.30752212000000001</v>
      </c>
      <c r="F5605" s="2">
        <v>0.49661028000000002</v>
      </c>
    </row>
    <row r="5606" spans="1:6" x14ac:dyDescent="0.25">
      <c r="A5606" t="s">
        <v>6</v>
      </c>
      <c r="B5606" s="5" t="str">
        <f>HYPERLINK("http://www.broadinstitute.org/gsea/msigdb/cards/GOBP_AXONAL_TRANSPORT.html","GOBP_AXONAL_TRANSPORT")</f>
        <v>GOBP_AXONAL_TRANSPORT</v>
      </c>
      <c r="C5606" s="4">
        <v>67</v>
      </c>
      <c r="D5606" s="3">
        <v>-1.1327418</v>
      </c>
      <c r="E5606" s="1">
        <v>0.22841226000000001</v>
      </c>
      <c r="F5606" s="2">
        <v>0.49683189999999999</v>
      </c>
    </row>
    <row r="5607" spans="1:6" x14ac:dyDescent="0.25">
      <c r="A5607" t="s">
        <v>8</v>
      </c>
      <c r="B5607" s="5" t="str">
        <f>HYPERLINK("http://www.broadinstitute.org/gsea/msigdb/cards/GOMF_CHANNEL_REGULATOR_ACTIVITY.html","GOMF_CHANNEL_REGULATOR_ACTIVITY")</f>
        <v>GOMF_CHANNEL_REGULATOR_ACTIVITY</v>
      </c>
      <c r="C5607" s="4">
        <v>141</v>
      </c>
      <c r="D5607" s="3">
        <v>-1.1329399</v>
      </c>
      <c r="E5607" s="1">
        <v>0.17915310000000001</v>
      </c>
      <c r="F5607" s="2">
        <v>0.49682083999999999</v>
      </c>
    </row>
    <row r="5608" spans="1:6" x14ac:dyDescent="0.25">
      <c r="A5608" t="s">
        <v>6</v>
      </c>
      <c r="B5608" s="5" t="str">
        <f>HYPERLINK("http://www.broadinstitute.org/gsea/msigdb/cards/GOBP_REGULATION_OF_PROTEIN_LOCALIZATION_TO_CHROMOSOME_TELOMERIC_REGION.html","GOBP_REGULATION_OF_PROTEIN_LOCALIZATION_TO_CHROMOSOME_TELOMERIC_REGION")</f>
        <v>GOBP_REGULATION_OF_PROTEIN_LOCALIZATION_TO_CHROMOSOME_TELOMERIC_REGION</v>
      </c>
      <c r="C5608" s="4">
        <v>15</v>
      </c>
      <c r="D5608" s="3">
        <v>-1.1334915000000001</v>
      </c>
      <c r="E5608" s="1">
        <v>0.28678303999999999</v>
      </c>
      <c r="F5608" s="2">
        <v>0.49588189999999999</v>
      </c>
    </row>
    <row r="5609" spans="1:6" x14ac:dyDescent="0.25">
      <c r="A5609" t="s">
        <v>8</v>
      </c>
      <c r="B5609" s="5" t="str">
        <f>HYPERLINK("http://www.broadinstitute.org/gsea/msigdb/cards/GOMF_TRANSLATION_FACTOR_ACTIVITY_RNA_BINDING.html","GOMF_TRANSLATION_FACTOR_ACTIVITY_RNA_BINDING")</f>
        <v>GOMF_TRANSLATION_FACTOR_ACTIVITY_RNA_BINDING</v>
      </c>
      <c r="C5609" s="4">
        <v>76</v>
      </c>
      <c r="D5609" s="3">
        <v>-1.1335511</v>
      </c>
      <c r="E5609" s="1">
        <v>0.20485175</v>
      </c>
      <c r="F5609" s="2">
        <v>0.49620379999999997</v>
      </c>
    </row>
    <row r="5610" spans="1:6" x14ac:dyDescent="0.25">
      <c r="A5610" t="s">
        <v>6</v>
      </c>
      <c r="B5610" s="5" t="str">
        <f>HYPERLINK("http://www.broadinstitute.org/gsea/msigdb/cards/GOBP_POSITIVE_REGULATION_OF_OSSIFICATION.html","GOBP_POSITIVE_REGULATION_OF_OSSIFICATION")</f>
        <v>GOBP_POSITIVE_REGULATION_OF_OSSIFICATION</v>
      </c>
      <c r="C5610" s="4">
        <v>64</v>
      </c>
      <c r="D5610" s="3">
        <v>-1.1339492</v>
      </c>
      <c r="E5610" s="1">
        <v>0.23035230000000001</v>
      </c>
      <c r="F5610" s="2">
        <v>0.49565196</v>
      </c>
    </row>
    <row r="5611" spans="1:6" x14ac:dyDescent="0.25">
      <c r="A5611" t="s">
        <v>6</v>
      </c>
      <c r="B5611" s="5" t="str">
        <f>HYPERLINK("http://www.broadinstitute.org/gsea/msigdb/cards/GOBP_SUBPALLIUM_DEVELOPMENT.html","GOBP_SUBPALLIUM_DEVELOPMENT")</f>
        <v>GOBP_SUBPALLIUM_DEVELOPMENT</v>
      </c>
      <c r="C5611" s="4">
        <v>24</v>
      </c>
      <c r="D5611" s="3">
        <v>-1.134539</v>
      </c>
      <c r="E5611" s="1">
        <v>0.26683291999999997</v>
      </c>
      <c r="F5611" s="2">
        <v>0.49468509999999999</v>
      </c>
    </row>
    <row r="5612" spans="1:6" x14ac:dyDescent="0.25">
      <c r="A5612" t="s">
        <v>6</v>
      </c>
      <c r="B5612" s="5" t="str">
        <f>HYPERLINK("http://www.broadinstitute.org/gsea/msigdb/cards/GOBP_CELLULAR_RESPONSE_TO_GAMMA_RADIATION.html","GOBP_CELLULAR_RESPONSE_TO_GAMMA_RADIATION")</f>
        <v>GOBP_CELLULAR_RESPONSE_TO_GAMMA_RADIATION</v>
      </c>
      <c r="C5612" s="4">
        <v>27</v>
      </c>
      <c r="D5612" s="3">
        <v>-1.1349723</v>
      </c>
      <c r="E5612" s="1">
        <v>0.26034063000000002</v>
      </c>
      <c r="F5612" s="2">
        <v>0.49406832000000001</v>
      </c>
    </row>
    <row r="5613" spans="1:6" x14ac:dyDescent="0.25">
      <c r="A5613" t="s">
        <v>8</v>
      </c>
      <c r="B5613" s="5" t="str">
        <f>HYPERLINK("http://www.broadinstitute.org/gsea/msigdb/cards/GOMF_UBIQUITIN_LIKE_PROTEIN_CONJUGATING_ENZYME_ACTIVITY.html","GOMF_UBIQUITIN_LIKE_PROTEIN_CONJUGATING_ENZYME_ACTIVITY")</f>
        <v>GOMF_UBIQUITIN_LIKE_PROTEIN_CONJUGATING_ENZYME_ACTIVITY</v>
      </c>
      <c r="C5613" s="4">
        <v>38</v>
      </c>
      <c r="D5613" s="3">
        <v>-1.1353295000000001</v>
      </c>
      <c r="E5613" s="1">
        <v>0.26618703999999999</v>
      </c>
      <c r="F5613" s="2">
        <v>0.49365883999999999</v>
      </c>
    </row>
    <row r="5614" spans="1:6" x14ac:dyDescent="0.25">
      <c r="A5614" t="s">
        <v>6</v>
      </c>
      <c r="B5614" s="5" t="str">
        <f>HYPERLINK("http://www.broadinstitute.org/gsea/msigdb/cards/GOBP_TYROSINE_METABOLIC_PROCESS.html","GOBP_TYROSINE_METABOLIC_PROCESS")</f>
        <v>GOBP_TYROSINE_METABOLIC_PROCESS</v>
      </c>
      <c r="C5614" s="4">
        <v>15</v>
      </c>
      <c r="D5614" s="3">
        <v>-1.1356614</v>
      </c>
      <c r="E5614" s="1">
        <v>0.25837320000000003</v>
      </c>
      <c r="F5614" s="2">
        <v>0.49327922000000002</v>
      </c>
    </row>
    <row r="5615" spans="1:6" x14ac:dyDescent="0.25">
      <c r="A5615" t="s">
        <v>8</v>
      </c>
      <c r="B5615" s="5" t="str">
        <f>HYPERLINK("http://www.broadinstitute.org/gsea/msigdb/cards/GOMF_CATALYTIC_ACTIVITY_ACTING_ON_DNA.html","GOMF_CATALYTIC_ACTIVITY_ACTING_ON_DNA")</f>
        <v>GOMF_CATALYTIC_ACTIVITY_ACTING_ON_DNA</v>
      </c>
      <c r="C5615" s="4">
        <v>232</v>
      </c>
      <c r="D5615" s="3">
        <v>-1.1365187999999999</v>
      </c>
      <c r="E5615" s="1">
        <v>0.11666667</v>
      </c>
      <c r="F5615" s="2">
        <v>0.49165725999999998</v>
      </c>
    </row>
    <row r="5616" spans="1:6" x14ac:dyDescent="0.25">
      <c r="A5616" t="s">
        <v>10</v>
      </c>
      <c r="B5616" s="5" t="str">
        <f>HYPERLINK("http://www.broadinstitute.org/gsea/msigdb/cards/REACTOME_TRAFFICKING_OF_AMPA_RECEPTORS.html","REACTOME_TRAFFICKING_OF_AMPA_RECEPTORS")</f>
        <v>REACTOME_TRAFFICKING_OF_AMPA_RECEPTORS</v>
      </c>
      <c r="C5616" s="4">
        <v>29</v>
      </c>
      <c r="D5616" s="3">
        <v>-1.1365714</v>
      </c>
      <c r="E5616" s="1">
        <v>0.24358974</v>
      </c>
      <c r="F5616" s="2">
        <v>0.49201244</v>
      </c>
    </row>
    <row r="5617" spans="1:6" x14ac:dyDescent="0.25">
      <c r="A5617" t="s">
        <v>7</v>
      </c>
      <c r="B5617" s="5" t="str">
        <f>HYPERLINK("http://www.broadinstitute.org/gsea/msigdb/cards/GOCC_SPERM_PRINCIPAL_PIECE.html","GOCC_SPERM_PRINCIPAL_PIECE")</f>
        <v>GOCC_SPERM_PRINCIPAL_PIECE</v>
      </c>
      <c r="C5617" s="4">
        <v>36</v>
      </c>
      <c r="D5617" s="3">
        <v>-1.1366419000000001</v>
      </c>
      <c r="E5617" s="1">
        <v>0.24819277000000001</v>
      </c>
      <c r="F5617" s="2">
        <v>0.49232306999999997</v>
      </c>
    </row>
    <row r="5618" spans="1:6" x14ac:dyDescent="0.25">
      <c r="A5618" t="s">
        <v>6</v>
      </c>
      <c r="B5618" s="5" t="str">
        <f>HYPERLINK("http://www.broadinstitute.org/gsea/msigdb/cards/GOBP_NEGATIVE_REGULATION_OF_GLIOGENESIS.html","GOBP_NEGATIVE_REGULATION_OF_GLIOGENESIS")</f>
        <v>GOBP_NEGATIVE_REGULATION_OF_GLIOGENESIS</v>
      </c>
      <c r="C5618" s="4">
        <v>59</v>
      </c>
      <c r="D5618" s="3">
        <v>-1.1368707</v>
      </c>
      <c r="E5618" s="1">
        <v>0.22074468</v>
      </c>
      <c r="F5618" s="2">
        <v>0.49222976000000002</v>
      </c>
    </row>
    <row r="5619" spans="1:6" x14ac:dyDescent="0.25">
      <c r="A5619" t="s">
        <v>6</v>
      </c>
      <c r="B5619" s="5" t="str">
        <f>HYPERLINK("http://www.broadinstitute.org/gsea/msigdb/cards/GOBP_TRANSLATIONAL_ELONGATION.html","GOBP_TRANSLATIONAL_ELONGATION")</f>
        <v>GOBP_TRANSLATIONAL_ELONGATION</v>
      </c>
      <c r="C5619" s="4">
        <v>65</v>
      </c>
      <c r="D5619" s="3">
        <v>-1.1369572999999999</v>
      </c>
      <c r="E5619" s="1">
        <v>0.23232322999999999</v>
      </c>
      <c r="F5619" s="2">
        <v>0.49248332</v>
      </c>
    </row>
    <row r="5620" spans="1:6" x14ac:dyDescent="0.25">
      <c r="A5620" t="s">
        <v>10</v>
      </c>
      <c r="B5620" s="5" t="str">
        <f>HYPERLINK("http://www.broadinstitute.org/gsea/msigdb/cards/REACTOME_RNA_POLYMERASE_II_TRANSCRIBES_SNRNA_GENES.html","REACTOME_RNA_POLYMERASE_II_TRANSCRIBES_SNRNA_GENES")</f>
        <v>REACTOME_RNA_POLYMERASE_II_TRANSCRIBES_SNRNA_GENES</v>
      </c>
      <c r="C5620" s="4">
        <v>72</v>
      </c>
      <c r="D5620" s="3">
        <v>-1.1369986999999999</v>
      </c>
      <c r="E5620" s="1">
        <v>0.19783197</v>
      </c>
      <c r="F5620" s="2">
        <v>0.49287092999999998</v>
      </c>
    </row>
    <row r="5621" spans="1:6" x14ac:dyDescent="0.25">
      <c r="A5621" t="s">
        <v>7</v>
      </c>
      <c r="B5621" s="5" t="str">
        <f>HYPERLINK("http://www.broadinstitute.org/gsea/msigdb/cards/GOCC_NUCLEAR_MATRIX.html","GOCC_NUCLEAR_MATRIX")</f>
        <v>GOCC_NUCLEAR_MATRIX</v>
      </c>
      <c r="C5621" s="4">
        <v>107</v>
      </c>
      <c r="D5621" s="3">
        <v>-1.1370055999999999</v>
      </c>
      <c r="E5621" s="1">
        <v>0.18786127999999999</v>
      </c>
      <c r="F5621" s="2">
        <v>0.49334677999999998</v>
      </c>
    </row>
    <row r="5622" spans="1:6" x14ac:dyDescent="0.25">
      <c r="A5622" t="s">
        <v>7</v>
      </c>
      <c r="B5622" s="5" t="str">
        <f>HYPERLINK("http://www.broadinstitute.org/gsea/msigdb/cards/GOCC_PRESYNAPTIC_MEMBRANE.html","GOCC_PRESYNAPTIC_MEMBRANE")</f>
        <v>GOCC_PRESYNAPTIC_MEMBRANE</v>
      </c>
      <c r="C5622" s="4">
        <v>234</v>
      </c>
      <c r="D5622" s="3">
        <v>-1.1371205</v>
      </c>
      <c r="E5622" s="1">
        <v>0.11077844000000001</v>
      </c>
      <c r="F5622" s="2">
        <v>0.49355617000000002</v>
      </c>
    </row>
    <row r="5623" spans="1:6" x14ac:dyDescent="0.25">
      <c r="A5623" t="s">
        <v>8</v>
      </c>
      <c r="B5623" s="5" t="str">
        <f>HYPERLINK("http://www.broadinstitute.org/gsea/msigdb/cards/GOMF_MOLECULAR_CARRIER_ACTIVITY.html","GOMF_MOLECULAR_CARRIER_ACTIVITY")</f>
        <v>GOMF_MOLECULAR_CARRIER_ACTIVITY</v>
      </c>
      <c r="C5623" s="4">
        <v>87</v>
      </c>
      <c r="D5623" s="3">
        <v>-1.1372104999999999</v>
      </c>
      <c r="E5623" s="1">
        <v>0.17499999999999999</v>
      </c>
      <c r="F5623" s="2">
        <v>0.49382493</v>
      </c>
    </row>
    <row r="5624" spans="1:6" x14ac:dyDescent="0.25">
      <c r="A5624" t="s">
        <v>8</v>
      </c>
      <c r="B5624" s="5" t="str">
        <f>HYPERLINK("http://www.broadinstitute.org/gsea/msigdb/cards/GOMF_MYOSIN_V_BINDING.html","GOMF_MYOSIN_V_BINDING")</f>
        <v>GOMF_MYOSIN_V_BINDING</v>
      </c>
      <c r="C5624" s="4">
        <v>19</v>
      </c>
      <c r="D5624" s="3">
        <v>-1.1375028</v>
      </c>
      <c r="E5624" s="1">
        <v>0.27990429999999999</v>
      </c>
      <c r="F5624" s="2">
        <v>0.49357018000000003</v>
      </c>
    </row>
    <row r="5625" spans="1:6" x14ac:dyDescent="0.25">
      <c r="A5625" t="s">
        <v>6</v>
      </c>
      <c r="B5625" s="5" t="str">
        <f>HYPERLINK("http://www.broadinstitute.org/gsea/msigdb/cards/GOBP_ESTABLISHMENT_OF_EPITHELIAL_CELL_POLARITY.html","GOBP_ESTABLISHMENT_OF_EPITHELIAL_CELL_POLARITY")</f>
        <v>GOBP_ESTABLISHMENT_OF_EPITHELIAL_CELL_POLARITY</v>
      </c>
      <c r="C5625" s="4">
        <v>40</v>
      </c>
      <c r="D5625" s="3">
        <v>-1.1377504000000001</v>
      </c>
      <c r="E5625" s="1">
        <v>0.22332505999999999</v>
      </c>
      <c r="F5625" s="2">
        <v>0.49344813999999998</v>
      </c>
    </row>
    <row r="5626" spans="1:6" x14ac:dyDescent="0.25">
      <c r="A5626" t="s">
        <v>6</v>
      </c>
      <c r="B5626" s="5" t="str">
        <f>HYPERLINK("http://www.broadinstitute.org/gsea/msigdb/cards/GOBP_LOCOMOTOR_RHYTHM.html","GOBP_LOCOMOTOR_RHYTHM")</f>
        <v>GOBP_LOCOMOTOR_RHYTHM</v>
      </c>
      <c r="C5626" s="4">
        <v>21</v>
      </c>
      <c r="D5626" s="3">
        <v>-1.1378505000000001</v>
      </c>
      <c r="E5626" s="1">
        <v>0.26865673000000001</v>
      </c>
      <c r="F5626" s="2">
        <v>0.49370239999999999</v>
      </c>
    </row>
    <row r="5627" spans="1:6" x14ac:dyDescent="0.25">
      <c r="A5627" t="s">
        <v>6</v>
      </c>
      <c r="B5627" s="5" t="str">
        <f>HYPERLINK("http://www.broadinstitute.org/gsea/msigdb/cards/GOBP_REGULATION_OF_VESICLE_FUSION.html","GOBP_REGULATION_OF_VESICLE_FUSION")</f>
        <v>GOBP_REGULATION_OF_VESICLE_FUSION</v>
      </c>
      <c r="C5627" s="4">
        <v>33</v>
      </c>
      <c r="D5627" s="3">
        <v>-1.1380401</v>
      </c>
      <c r="E5627" s="1">
        <v>0.25125629999999999</v>
      </c>
      <c r="F5627" s="2">
        <v>0.49367902000000002</v>
      </c>
    </row>
    <row r="5628" spans="1:6" x14ac:dyDescent="0.25">
      <c r="A5628" t="s">
        <v>6</v>
      </c>
      <c r="B5628" s="5" t="str">
        <f>HYPERLINK("http://www.broadinstitute.org/gsea/msigdb/cards/GOBP_POSITIVE_REGULATION_OF_DNA_RECOMBINATION.html","GOBP_POSITIVE_REGULATION_OF_DNA_RECOMBINATION")</f>
        <v>GOBP_POSITIVE_REGULATION_OF_DNA_RECOMBINATION</v>
      </c>
      <c r="C5628" s="4">
        <v>70</v>
      </c>
      <c r="D5628" s="3">
        <v>-1.1382961</v>
      </c>
      <c r="E5628" s="1">
        <v>0.22192513999999999</v>
      </c>
      <c r="F5628" s="2">
        <v>0.49350919999999998</v>
      </c>
    </row>
    <row r="5629" spans="1:6" x14ac:dyDescent="0.25">
      <c r="A5629" t="s">
        <v>7</v>
      </c>
      <c r="B5629" s="5" t="str">
        <f>HYPERLINK("http://www.broadinstitute.org/gsea/msigdb/cards/GOCC_HETEROCHROMATIN.html","GOCC_HETEROCHROMATIN")</f>
        <v>GOCC_HETEROCHROMATIN</v>
      </c>
      <c r="C5629" s="4">
        <v>98</v>
      </c>
      <c r="D5629" s="3">
        <v>-1.1384006</v>
      </c>
      <c r="E5629" s="1">
        <v>0.21269841</v>
      </c>
      <c r="F5629" s="2">
        <v>0.49373456999999998</v>
      </c>
    </row>
    <row r="5630" spans="1:6" x14ac:dyDescent="0.25">
      <c r="A5630" t="s">
        <v>6</v>
      </c>
      <c r="B5630" s="5" t="str">
        <f>HYPERLINK("http://www.broadinstitute.org/gsea/msigdb/cards/GOBP_NEGATIVE_REGULATION_OF_ATP_DEPENDENT_ACTIVITY.html","GOBP_NEGATIVE_REGULATION_OF_ATP_DEPENDENT_ACTIVITY")</f>
        <v>GOBP_NEGATIVE_REGULATION_OF_ATP_DEPENDENT_ACTIVITY</v>
      </c>
      <c r="C5630" s="4">
        <v>23</v>
      </c>
      <c r="D5630" s="3">
        <v>-1.138544</v>
      </c>
      <c r="E5630" s="1">
        <v>0.25592417000000001</v>
      </c>
      <c r="F5630" s="2">
        <v>0.49386006999999998</v>
      </c>
    </row>
    <row r="5631" spans="1:6" x14ac:dyDescent="0.25">
      <c r="A5631" t="s">
        <v>6</v>
      </c>
      <c r="B5631" s="5" t="str">
        <f>HYPERLINK("http://www.broadinstitute.org/gsea/msigdb/cards/GOBP_REGULATION_OF_RESPONSE_TO_FOOD.html","GOBP_REGULATION_OF_RESPONSE_TO_FOOD")</f>
        <v>GOBP_REGULATION_OF_RESPONSE_TO_FOOD</v>
      </c>
      <c r="C5631" s="4">
        <v>22</v>
      </c>
      <c r="D5631" s="3">
        <v>-1.1386265</v>
      </c>
      <c r="E5631" s="1">
        <v>0.27033492999999997</v>
      </c>
      <c r="F5631" s="2">
        <v>0.49415189999999998</v>
      </c>
    </row>
    <row r="5632" spans="1:6" x14ac:dyDescent="0.25">
      <c r="A5632" t="s">
        <v>6</v>
      </c>
      <c r="B5632" s="5" t="str">
        <f>HYPERLINK("http://www.broadinstitute.org/gsea/msigdb/cards/GOBP_LUNG_CELL_DIFFERENTIATION.html","GOBP_LUNG_CELL_DIFFERENTIATION")</f>
        <v>GOBP_LUNG_CELL_DIFFERENTIATION</v>
      </c>
      <c r="C5632" s="4">
        <v>38</v>
      </c>
      <c r="D5632" s="3">
        <v>-1.1396394000000001</v>
      </c>
      <c r="E5632" s="1">
        <v>0.2284264</v>
      </c>
      <c r="F5632" s="2">
        <v>0.49217549999999999</v>
      </c>
    </row>
    <row r="5633" spans="1:6" x14ac:dyDescent="0.25">
      <c r="A5633" t="s">
        <v>6</v>
      </c>
      <c r="B5633" s="5" t="str">
        <f>HYPERLINK("http://www.broadinstitute.org/gsea/msigdb/cards/GOBP_MICROTUBULE_BUNDLE_FORMATION.html","GOBP_MICROTUBULE_BUNDLE_FORMATION")</f>
        <v>GOBP_MICROTUBULE_BUNDLE_FORMATION</v>
      </c>
      <c r="C5633" s="4">
        <v>128</v>
      </c>
      <c r="D5633" s="3">
        <v>-1.1402482</v>
      </c>
      <c r="E5633" s="1">
        <v>0.16</v>
      </c>
      <c r="F5633" s="2">
        <v>0.49114773</v>
      </c>
    </row>
    <row r="5634" spans="1:6" x14ac:dyDescent="0.25">
      <c r="A5634" t="s">
        <v>8</v>
      </c>
      <c r="B5634" s="5" t="str">
        <f>HYPERLINK("http://www.broadinstitute.org/gsea/msigdb/cards/GOMF_P53_BINDING.html","GOMF_P53_BINDING")</f>
        <v>GOMF_P53_BINDING</v>
      </c>
      <c r="C5634" s="4">
        <v>76</v>
      </c>
      <c r="D5634" s="3">
        <v>-1.1403787999999999</v>
      </c>
      <c r="E5634" s="1">
        <v>0.20474777999999999</v>
      </c>
      <c r="F5634" s="2">
        <v>0.49131586999999999</v>
      </c>
    </row>
    <row r="5635" spans="1:6" x14ac:dyDescent="0.25">
      <c r="A5635" t="s">
        <v>7</v>
      </c>
      <c r="B5635" s="5" t="str">
        <f>HYPERLINK("http://www.broadinstitute.org/gsea/msigdb/cards/GOCC_VOLTAGE_GATED_SODIUM_CHANNEL_COMPLEX.html","GOCC_VOLTAGE_GATED_SODIUM_CHANNEL_COMPLEX")</f>
        <v>GOCC_VOLTAGE_GATED_SODIUM_CHANNEL_COMPLEX</v>
      </c>
      <c r="C5635" s="4">
        <v>17</v>
      </c>
      <c r="D5635" s="3">
        <v>-1.1403896</v>
      </c>
      <c r="E5635" s="1">
        <v>0.28018224000000003</v>
      </c>
      <c r="F5635" s="2">
        <v>0.49177954000000001</v>
      </c>
    </row>
    <row r="5636" spans="1:6" x14ac:dyDescent="0.25">
      <c r="A5636" t="s">
        <v>6</v>
      </c>
      <c r="B5636" s="5" t="str">
        <f>HYPERLINK("http://www.broadinstitute.org/gsea/msigdb/cards/GOBP_SPERM_CAPACITATION.html","GOBP_SPERM_CAPACITATION")</f>
        <v>GOBP_SPERM_CAPACITATION</v>
      </c>
      <c r="C5636" s="4">
        <v>29</v>
      </c>
      <c r="D5636" s="3">
        <v>-1.1407548000000001</v>
      </c>
      <c r="E5636" s="1">
        <v>0.27251732000000001</v>
      </c>
      <c r="F5636" s="2">
        <v>0.49132308000000002</v>
      </c>
    </row>
    <row r="5637" spans="1:6" x14ac:dyDescent="0.25">
      <c r="A5637" t="s">
        <v>6</v>
      </c>
      <c r="B5637" s="5" t="str">
        <f>HYPERLINK("http://www.broadinstitute.org/gsea/msigdb/cards/GOBP_HEME_BIOSYNTHETIC_PROCESS.html","GOBP_HEME_BIOSYNTHETIC_PROCESS")</f>
        <v>GOBP_HEME_BIOSYNTHETIC_PROCESS</v>
      </c>
      <c r="C5637" s="4">
        <v>26</v>
      </c>
      <c r="D5637" s="3">
        <v>-1.1410753</v>
      </c>
      <c r="E5637" s="1">
        <v>0.26912928000000003</v>
      </c>
      <c r="F5637" s="2">
        <v>0.49097243000000002</v>
      </c>
    </row>
    <row r="5638" spans="1:6" x14ac:dyDescent="0.25">
      <c r="A5638" t="s">
        <v>6</v>
      </c>
      <c r="B5638" s="5" t="str">
        <f>HYPERLINK("http://www.broadinstitute.org/gsea/msigdb/cards/GOBP_CARDIAC_MUSCLE_CELL_DIFFERENTIATION.html","GOBP_CARDIAC_MUSCLE_CELL_DIFFERENTIATION")</f>
        <v>GOBP_CARDIAC_MUSCLE_CELL_DIFFERENTIATION</v>
      </c>
      <c r="C5638" s="4">
        <v>153</v>
      </c>
      <c r="D5638" s="3">
        <v>-1.1411138000000001</v>
      </c>
      <c r="E5638" s="1">
        <v>0.14333333000000001</v>
      </c>
      <c r="F5638" s="2">
        <v>0.49138236000000002</v>
      </c>
    </row>
    <row r="5639" spans="1:6" x14ac:dyDescent="0.25">
      <c r="A5639" t="s">
        <v>6</v>
      </c>
      <c r="B5639" s="5" t="str">
        <f>HYPERLINK("http://www.broadinstitute.org/gsea/msigdb/cards/GOBP_DNA_TEMPLATED_TRANSCRIPTION_TERMINATION.html","GOBP_DNA_TEMPLATED_TRANSCRIPTION_TERMINATION")</f>
        <v>GOBP_DNA_TEMPLATED_TRANSCRIPTION_TERMINATION</v>
      </c>
      <c r="C5639" s="4">
        <v>26</v>
      </c>
      <c r="D5639" s="3">
        <v>-1.1412485999999999</v>
      </c>
      <c r="E5639" s="1">
        <v>0.22535210999999999</v>
      </c>
      <c r="F5639" s="2">
        <v>0.4915214</v>
      </c>
    </row>
    <row r="5640" spans="1:6" x14ac:dyDescent="0.25">
      <c r="A5640" t="s">
        <v>6</v>
      </c>
      <c r="B5640" s="5" t="str">
        <f>HYPERLINK("http://www.broadinstitute.org/gsea/msigdb/cards/GOBP_NUCLEAR_CHROMOSOME_SEGREGATION.html","GOBP_NUCLEAR_CHROMOSOME_SEGREGATION")</f>
        <v>GOBP_NUCLEAR_CHROMOSOME_SEGREGATION</v>
      </c>
      <c r="C5640" s="4">
        <v>306</v>
      </c>
      <c r="D5640" s="3">
        <v>-1.1418649000000001</v>
      </c>
      <c r="E5640" s="1">
        <v>0.11818182000000001</v>
      </c>
      <c r="F5640" s="2">
        <v>0.49045944000000002</v>
      </c>
    </row>
    <row r="5641" spans="1:6" x14ac:dyDescent="0.25">
      <c r="A5641" t="s">
        <v>8</v>
      </c>
      <c r="B5641" s="5" t="str">
        <f>HYPERLINK("http://www.broadinstitute.org/gsea/msigdb/cards/GOMF_HMG_BOX_DOMAIN_BINDING.html","GOMF_HMG_BOX_DOMAIN_BINDING")</f>
        <v>GOMF_HMG_BOX_DOMAIN_BINDING</v>
      </c>
      <c r="C5641" s="4">
        <v>21</v>
      </c>
      <c r="D5641" s="3">
        <v>-1.1426324000000001</v>
      </c>
      <c r="E5641" s="1">
        <v>0.2542373</v>
      </c>
      <c r="F5641" s="2">
        <v>0.48905330000000002</v>
      </c>
    </row>
    <row r="5642" spans="1:6" x14ac:dyDescent="0.25">
      <c r="A5642" t="s">
        <v>6</v>
      </c>
      <c r="B5642" s="5" t="str">
        <f>HYPERLINK("http://www.broadinstitute.org/gsea/msigdb/cards/GOBP_PALLIUM_DEVELOPMENT.html","GOBP_PALLIUM_DEVELOPMENT")</f>
        <v>GOBP_PALLIUM_DEVELOPMENT</v>
      </c>
      <c r="C5642" s="4">
        <v>175</v>
      </c>
      <c r="D5642" s="3">
        <v>-1.1429123000000001</v>
      </c>
      <c r="E5642" s="1">
        <v>0.12621360000000001</v>
      </c>
      <c r="F5642" s="2">
        <v>0.48884644999999999</v>
      </c>
    </row>
    <row r="5643" spans="1:6" x14ac:dyDescent="0.25">
      <c r="A5643" t="s">
        <v>6</v>
      </c>
      <c r="B5643" s="5" t="str">
        <f>HYPERLINK("http://www.broadinstitute.org/gsea/msigdb/cards/GOBP_REGULATION_OF_DEVELOPMENTAL_GROWTH.html","GOBP_REGULATION_OF_DEVELOPMENTAL_GROWTH")</f>
        <v>GOBP_REGULATION_OF_DEVELOPMENTAL_GROWTH</v>
      </c>
      <c r="C5643" s="4">
        <v>390</v>
      </c>
      <c r="D5643" s="3">
        <v>-1.143451</v>
      </c>
      <c r="E5643" s="1">
        <v>7.3732720000000002E-2</v>
      </c>
      <c r="F5643" s="2">
        <v>0.48804041999999997</v>
      </c>
    </row>
    <row r="5644" spans="1:6" x14ac:dyDescent="0.25">
      <c r="A5644" t="s">
        <v>8</v>
      </c>
      <c r="B5644" s="5" t="str">
        <f>HYPERLINK("http://www.broadinstitute.org/gsea/msigdb/cards/GOMF_NUCLEAR_ANDROGEN_RECEPTOR_BINDING.html","GOMF_NUCLEAR_ANDROGEN_RECEPTOR_BINDING")</f>
        <v>GOMF_NUCLEAR_ANDROGEN_RECEPTOR_BINDING</v>
      </c>
      <c r="C5644" s="4">
        <v>33</v>
      </c>
      <c r="D5644" s="3">
        <v>-1.1434610000000001</v>
      </c>
      <c r="E5644" s="1">
        <v>0.25990099999999999</v>
      </c>
      <c r="F5644" s="2">
        <v>0.48851988000000002</v>
      </c>
    </row>
    <row r="5645" spans="1:6" x14ac:dyDescent="0.25">
      <c r="A5645" t="s">
        <v>6</v>
      </c>
      <c r="B5645" s="5" t="str">
        <f>HYPERLINK("http://www.broadinstitute.org/gsea/msigdb/cards/GOBP_NOTOCHORD_DEVELOPMENT.html","GOBP_NOTOCHORD_DEVELOPMENT")</f>
        <v>GOBP_NOTOCHORD_DEVELOPMENT</v>
      </c>
      <c r="C5645" s="4">
        <v>25</v>
      </c>
      <c r="D5645" s="3">
        <v>-1.1436956</v>
      </c>
      <c r="E5645" s="1">
        <v>0.27039626</v>
      </c>
      <c r="F5645" s="2">
        <v>0.48846263000000001</v>
      </c>
    </row>
    <row r="5646" spans="1:6" x14ac:dyDescent="0.25">
      <c r="A5646" t="s">
        <v>6</v>
      </c>
      <c r="B5646" s="5" t="str">
        <f>HYPERLINK("http://www.broadinstitute.org/gsea/msigdb/cards/GOBP_REGULATION_OF_SODIUM_ION_TRANSMEMBRANE_TRANSPORT.html","GOBP_REGULATION_OF_SODIUM_ION_TRANSMEMBRANE_TRANSPORT")</f>
        <v>GOBP_REGULATION_OF_SODIUM_ION_TRANSMEMBRANE_TRANSPORT</v>
      </c>
      <c r="C5646" s="4">
        <v>69</v>
      </c>
      <c r="D5646" s="3">
        <v>-1.1444186999999999</v>
      </c>
      <c r="E5646" s="1">
        <v>0.20472441999999999</v>
      </c>
      <c r="F5646" s="2">
        <v>0.48716082999999999</v>
      </c>
    </row>
    <row r="5647" spans="1:6" x14ac:dyDescent="0.25">
      <c r="A5647" t="s">
        <v>6</v>
      </c>
      <c r="B5647" s="5" t="str">
        <f>HYPERLINK("http://www.broadinstitute.org/gsea/msigdb/cards/GOBP_POSITIVE_REGULATION_OF_GLYCOGEN_METABOLIC_PROCESS.html","GOBP_POSITIVE_REGULATION_OF_GLYCOGEN_METABOLIC_PROCESS")</f>
        <v>GOBP_POSITIVE_REGULATION_OF_GLYCOGEN_METABOLIC_PROCESS</v>
      </c>
      <c r="C5647" s="4">
        <v>18</v>
      </c>
      <c r="D5647" s="3">
        <v>-1.1449498</v>
      </c>
      <c r="E5647" s="1">
        <v>0.26525821999999999</v>
      </c>
      <c r="F5647" s="2">
        <v>0.48632962000000002</v>
      </c>
    </row>
    <row r="5648" spans="1:6" x14ac:dyDescent="0.25">
      <c r="A5648" t="s">
        <v>10</v>
      </c>
      <c r="B5648" s="5" t="str">
        <f>HYPERLINK("http://www.broadinstitute.org/gsea/msigdb/cards/REACTOME_RND3_GTPASE_CYCLE.html","REACTOME_RND3_GTPASE_CYCLE")</f>
        <v>REACTOME_RND3_GTPASE_CYCLE</v>
      </c>
      <c r="C5648" s="4">
        <v>41</v>
      </c>
      <c r="D5648" s="3">
        <v>-1.1453247</v>
      </c>
      <c r="E5648" s="1">
        <v>0.23797468999999999</v>
      </c>
      <c r="F5648" s="2">
        <v>0.48588369999999997</v>
      </c>
    </row>
    <row r="5649" spans="1:6" x14ac:dyDescent="0.25">
      <c r="A5649" t="s">
        <v>6</v>
      </c>
      <c r="B5649" s="5" t="str">
        <f>HYPERLINK("http://www.broadinstitute.org/gsea/msigdb/cards/GOBP_MITOTIC_CELL_CYCLE_PHASE_TRANSITION.html","GOBP_MITOTIC_CELL_CYCLE_PHASE_TRANSITION")</f>
        <v>GOBP_MITOTIC_CELL_CYCLE_PHASE_TRANSITION</v>
      </c>
      <c r="C5649" s="4">
        <v>437</v>
      </c>
      <c r="D5649" s="3">
        <v>-1.1466428</v>
      </c>
      <c r="E5649" s="1">
        <v>7.7272729999999998E-2</v>
      </c>
      <c r="F5649" s="2">
        <v>0.48314207999999997</v>
      </c>
    </row>
    <row r="5650" spans="1:6" x14ac:dyDescent="0.25">
      <c r="A5650" t="s">
        <v>10</v>
      </c>
      <c r="B5650" s="5" t="str">
        <f>HYPERLINK("http://www.broadinstitute.org/gsea/msigdb/cards/REACTOME_REGULATION_OF_TP53_ACTIVITY.html","REACTOME_REGULATION_OF_TP53_ACTIVITY")</f>
        <v>REACTOME_REGULATION_OF_TP53_ACTIVITY</v>
      </c>
      <c r="C5650" s="4">
        <v>152</v>
      </c>
      <c r="D5650" s="3">
        <v>-1.1466532</v>
      </c>
      <c r="E5650" s="1">
        <v>0.14696486</v>
      </c>
      <c r="F5650" s="2">
        <v>0.48361440999999999</v>
      </c>
    </row>
    <row r="5651" spans="1:6" x14ac:dyDescent="0.25">
      <c r="A5651" t="s">
        <v>6</v>
      </c>
      <c r="B5651" s="5" t="str">
        <f>HYPERLINK("http://www.broadinstitute.org/gsea/msigdb/cards/GOBP_MIDBRAIN_DEVELOPMENT.html","GOBP_MIDBRAIN_DEVELOPMENT")</f>
        <v>GOBP_MIDBRAIN_DEVELOPMENT</v>
      </c>
      <c r="C5651" s="4">
        <v>49</v>
      </c>
      <c r="D5651" s="3">
        <v>-1.1468837000000001</v>
      </c>
      <c r="E5651" s="1">
        <v>0.18848166999999999</v>
      </c>
      <c r="F5651" s="2">
        <v>0.48357129999999998</v>
      </c>
    </row>
    <row r="5652" spans="1:6" x14ac:dyDescent="0.25">
      <c r="A5652" t="s">
        <v>7</v>
      </c>
      <c r="B5652" s="5" t="str">
        <f>HYPERLINK("http://www.broadinstitute.org/gsea/msigdb/cards/GOCC_EUKARYOTIC_TRANSLATION_INITIATION_FACTOR_3_COMPLEX.html","GOCC_EUKARYOTIC_TRANSLATION_INITIATION_FACTOR_3_COMPLEX")</f>
        <v>GOCC_EUKARYOTIC_TRANSLATION_INITIATION_FACTOR_3_COMPLEX</v>
      </c>
      <c r="C5652" s="4">
        <v>16</v>
      </c>
      <c r="D5652" s="3">
        <v>-1.1474047000000001</v>
      </c>
      <c r="E5652" s="1">
        <v>0.25783134000000002</v>
      </c>
      <c r="F5652" s="2">
        <v>0.48277977</v>
      </c>
    </row>
    <row r="5653" spans="1:6" x14ac:dyDescent="0.25">
      <c r="A5653" t="s">
        <v>6</v>
      </c>
      <c r="B5653" s="5" t="str">
        <f>HYPERLINK("http://www.broadinstitute.org/gsea/msigdb/cards/GOBP_POSITIVE_REGULATION_OF_BIOMINERAL_TISSUE_DEVELOPMENT.html","GOBP_POSITIVE_REGULATION_OF_BIOMINERAL_TISSUE_DEVELOPMENT")</f>
        <v>GOBP_POSITIVE_REGULATION_OF_BIOMINERAL_TISSUE_DEVELOPMENT</v>
      </c>
      <c r="C5653" s="4">
        <v>56</v>
      </c>
      <c r="D5653" s="3">
        <v>-1.1477301</v>
      </c>
      <c r="E5653" s="1">
        <v>0.21409213999999999</v>
      </c>
      <c r="F5653" s="2">
        <v>0.48243492999999998</v>
      </c>
    </row>
    <row r="5654" spans="1:6" x14ac:dyDescent="0.25">
      <c r="A5654" t="s">
        <v>6</v>
      </c>
      <c r="B5654" s="5" t="str">
        <f>HYPERLINK("http://www.broadinstitute.org/gsea/msigdb/cards/GOBP_STRIATED_MUSCLE_CELL_DIFFERENTIATION.html","GOBP_STRIATED_MUSCLE_CELL_DIFFERENTIATION")</f>
        <v>GOBP_STRIATED_MUSCLE_CELL_DIFFERENTIATION</v>
      </c>
      <c r="C5654" s="4">
        <v>332</v>
      </c>
      <c r="D5654" s="3">
        <v>-1.1478904000000001</v>
      </c>
      <c r="E5654" s="1">
        <v>9.8290600000000006E-2</v>
      </c>
      <c r="F5654" s="2">
        <v>0.48254160000000001</v>
      </c>
    </row>
    <row r="5655" spans="1:6" x14ac:dyDescent="0.25">
      <c r="A5655" t="s">
        <v>6</v>
      </c>
      <c r="B5655" s="5" t="str">
        <f>HYPERLINK("http://www.broadinstitute.org/gsea/msigdb/cards/GOBP_NEGATIVE_REGULATION_OF_MUSCLE_HYPERTROPHY.html","GOBP_NEGATIVE_REGULATION_OF_MUSCLE_HYPERTROPHY")</f>
        <v>GOBP_NEGATIVE_REGULATION_OF_MUSCLE_HYPERTROPHY</v>
      </c>
      <c r="C5655" s="4">
        <v>36</v>
      </c>
      <c r="D5655" s="3">
        <v>-1.1483167000000001</v>
      </c>
      <c r="E5655" s="1">
        <v>0.25376883</v>
      </c>
      <c r="F5655" s="2">
        <v>0.48198776999999998</v>
      </c>
    </row>
    <row r="5656" spans="1:6" x14ac:dyDescent="0.25">
      <c r="A5656" t="s">
        <v>6</v>
      </c>
      <c r="B5656" s="5" t="str">
        <f>HYPERLINK("http://www.broadinstitute.org/gsea/msigdb/cards/GOBP_SMOOTH_MUSCLE_CELL_DIFFERENTIATION.html","GOBP_SMOOTH_MUSCLE_CELL_DIFFERENTIATION")</f>
        <v>GOBP_SMOOTH_MUSCLE_CELL_DIFFERENTIATION</v>
      </c>
      <c r="C5656" s="4">
        <v>80</v>
      </c>
      <c r="D5656" s="3">
        <v>-1.14899</v>
      </c>
      <c r="E5656" s="1">
        <v>0.1923077</v>
      </c>
      <c r="F5656" s="2">
        <v>0.48075952999999999</v>
      </c>
    </row>
    <row r="5657" spans="1:6" x14ac:dyDescent="0.25">
      <c r="A5657" t="s">
        <v>6</v>
      </c>
      <c r="B5657" s="5" t="str">
        <f>HYPERLINK("http://www.broadinstitute.org/gsea/msigdb/cards/GOBP_PROTEIN_TRANSMEMBRANE_TRANSPORT.html","GOBP_PROTEIN_TRANSMEMBRANE_TRANSPORT")</f>
        <v>GOBP_PROTEIN_TRANSMEMBRANE_TRANSPORT</v>
      </c>
      <c r="C5657" s="4">
        <v>57</v>
      </c>
      <c r="D5657" s="3">
        <v>-1.1489929999999999</v>
      </c>
      <c r="E5657" s="1">
        <v>0.22872339999999999</v>
      </c>
      <c r="F5657" s="2">
        <v>0.48124430000000001</v>
      </c>
    </row>
    <row r="5658" spans="1:6" x14ac:dyDescent="0.25">
      <c r="A5658" t="s">
        <v>8</v>
      </c>
      <c r="B5658" s="5" t="str">
        <f>HYPERLINK("http://www.broadinstitute.org/gsea/msigdb/cards/GOMF_CALCIUM_CHANNEL_REGULATOR_ACTIVITY.html","GOMF_CALCIUM_CHANNEL_REGULATOR_ACTIVITY")</f>
        <v>GOMF_CALCIUM_CHANNEL_REGULATOR_ACTIVITY</v>
      </c>
      <c r="C5658" s="4">
        <v>41</v>
      </c>
      <c r="D5658" s="3">
        <v>-1.1490427000000001</v>
      </c>
      <c r="E5658" s="1">
        <v>0.23450135</v>
      </c>
      <c r="F5658" s="2">
        <v>0.48161206000000001</v>
      </c>
    </row>
    <row r="5659" spans="1:6" x14ac:dyDescent="0.25">
      <c r="A5659" t="s">
        <v>6</v>
      </c>
      <c r="B5659" s="5" t="str">
        <f>HYPERLINK("http://www.broadinstitute.org/gsea/msigdb/cards/GOBP_CORPUS_CALLOSUM_DEVELOPMENT.html","GOBP_CORPUS_CALLOSUM_DEVELOPMENT")</f>
        <v>GOBP_CORPUS_CALLOSUM_DEVELOPMENT</v>
      </c>
      <c r="C5659" s="4">
        <v>27</v>
      </c>
      <c r="D5659" s="3">
        <v>-1.1491022</v>
      </c>
      <c r="E5659" s="1">
        <v>0.25432097999999997</v>
      </c>
      <c r="F5659" s="2">
        <v>0.48195296999999998</v>
      </c>
    </row>
    <row r="5660" spans="1:6" x14ac:dyDescent="0.25">
      <c r="A5660" t="s">
        <v>6</v>
      </c>
      <c r="B5660" s="5" t="str">
        <f>HYPERLINK("http://www.broadinstitute.org/gsea/msigdb/cards/GOBP_RESPONSE_TO_ISCHEMIA.html","GOBP_RESPONSE_TO_ISCHEMIA")</f>
        <v>GOBP_RESPONSE_TO_ISCHEMIA</v>
      </c>
      <c r="C5660" s="4">
        <v>48</v>
      </c>
      <c r="D5660" s="3">
        <v>-1.1499082</v>
      </c>
      <c r="E5660" s="1">
        <v>0.23324396999999999</v>
      </c>
      <c r="F5660" s="2">
        <v>0.48048933999999999</v>
      </c>
    </row>
    <row r="5661" spans="1:6" x14ac:dyDescent="0.25">
      <c r="A5661" t="s">
        <v>10</v>
      </c>
      <c r="B5661" s="5" t="str">
        <f>HYPERLINK("http://www.broadinstitute.org/gsea/msigdb/cards/REACTOME_MITOTIC_G1_PHASE_AND_G1_S_TRANSITION.html","REACTOME_MITOTIC_G1_PHASE_AND_G1_S_TRANSITION")</f>
        <v>REACTOME_MITOTIC_G1_PHASE_AND_G1_S_TRANSITION</v>
      </c>
      <c r="C5661" s="4">
        <v>128</v>
      </c>
      <c r="D5661" s="3">
        <v>-1.1501598</v>
      </c>
      <c r="E5661" s="1">
        <v>0.17114093999999999</v>
      </c>
      <c r="F5661" s="2">
        <v>0.48031875000000002</v>
      </c>
    </row>
    <row r="5662" spans="1:6" x14ac:dyDescent="0.25">
      <c r="A5662" t="s">
        <v>6</v>
      </c>
      <c r="B5662" s="5" t="str">
        <f>HYPERLINK("http://www.broadinstitute.org/gsea/msigdb/cards/GOBP_REGULATION_OF_KIDNEY_DEVELOPMENT.html","GOBP_REGULATION_OF_KIDNEY_DEVELOPMENT")</f>
        <v>GOBP_REGULATION_OF_KIDNEY_DEVELOPMENT</v>
      </c>
      <c r="C5662" s="4">
        <v>35</v>
      </c>
      <c r="D5662" s="3">
        <v>-1.1515343</v>
      </c>
      <c r="E5662" s="1">
        <v>0.22500000000000001</v>
      </c>
      <c r="F5662" s="2">
        <v>0.47739105999999998</v>
      </c>
    </row>
    <row r="5663" spans="1:6" x14ac:dyDescent="0.25">
      <c r="A5663" t="s">
        <v>6</v>
      </c>
      <c r="B5663" s="5" t="str">
        <f>HYPERLINK("http://www.broadinstitute.org/gsea/msigdb/cards/GOBP_UBIQUINONE_METABOLIC_PROCESS.html","GOBP_UBIQUINONE_METABOLIC_PROCESS")</f>
        <v>GOBP_UBIQUINONE_METABOLIC_PROCESS</v>
      </c>
      <c r="C5663" s="4">
        <v>19</v>
      </c>
      <c r="D5663" s="3">
        <v>-1.1531370999999999</v>
      </c>
      <c r="E5663" s="1">
        <v>0.25061425999999998</v>
      </c>
      <c r="F5663" s="2">
        <v>0.47394641999999998</v>
      </c>
    </row>
    <row r="5664" spans="1:6" x14ac:dyDescent="0.25">
      <c r="A5664" t="s">
        <v>8</v>
      </c>
      <c r="B5664" s="5" t="str">
        <f>HYPERLINK("http://www.broadinstitute.org/gsea/msigdb/cards/GOMF_POLYUBIQUITIN_MODIFICATION_DEPENDENT_PROTEIN_BINDING.html","GOMF_POLYUBIQUITIN_MODIFICATION_DEPENDENT_PROTEIN_BINDING")</f>
        <v>GOMF_POLYUBIQUITIN_MODIFICATION_DEPENDENT_PROTEIN_BINDING</v>
      </c>
      <c r="C5664" s="4">
        <v>58</v>
      </c>
      <c r="D5664" s="3">
        <v>-1.1534393000000001</v>
      </c>
      <c r="E5664" s="1">
        <v>0.20963172999999999</v>
      </c>
      <c r="F5664" s="2">
        <v>0.47371607999999998</v>
      </c>
    </row>
    <row r="5665" spans="1:6" x14ac:dyDescent="0.25">
      <c r="A5665" t="s">
        <v>6</v>
      </c>
      <c r="B5665" s="5" t="str">
        <f>HYPERLINK("http://www.broadinstitute.org/gsea/msigdb/cards/GOBP_REGULATION_OF_STEM_CELL_DIFFERENTIATION.html","GOBP_REGULATION_OF_STEM_CELL_DIFFERENTIATION")</f>
        <v>GOBP_REGULATION_OF_STEM_CELL_DIFFERENTIATION</v>
      </c>
      <c r="C5665" s="4">
        <v>80</v>
      </c>
      <c r="D5665" s="3">
        <v>-1.1537113000000001</v>
      </c>
      <c r="E5665" s="1">
        <v>0.18827161000000001</v>
      </c>
      <c r="F5665" s="2">
        <v>0.47352784999999997</v>
      </c>
    </row>
    <row r="5666" spans="1:6" x14ac:dyDescent="0.25">
      <c r="A5666" t="s">
        <v>6</v>
      </c>
      <c r="B5666" s="5" t="str">
        <f>HYPERLINK("http://www.broadinstitute.org/gsea/msigdb/cards/GOBP_ESTABLISHMENT_OF_PROTEIN_LOCALIZATION_TO_MEMBRANE.html","GOBP_ESTABLISHMENT_OF_PROTEIN_LOCALIZATION_TO_MEMBRANE")</f>
        <v>GOBP_ESTABLISHMENT_OF_PROTEIN_LOCALIZATION_TO_MEMBRANE</v>
      </c>
      <c r="C5666" s="4">
        <v>258</v>
      </c>
      <c r="D5666" s="3">
        <v>-1.1539216999999999</v>
      </c>
      <c r="E5666" s="1">
        <v>0.10358566</v>
      </c>
      <c r="F5666" s="2">
        <v>0.47348455</v>
      </c>
    </row>
    <row r="5667" spans="1:6" x14ac:dyDescent="0.25">
      <c r="A5667" t="s">
        <v>5</v>
      </c>
      <c r="B5667" s="5" t="str">
        <f>HYPERLINK("http://www.broadinstitute.org/gsea/msigdb/cards/BIOCARTA_RACCYCD_PATHWAY.html","BIOCARTA_RACCYCD_PATHWAY")</f>
        <v>BIOCARTA_RACCYCD_PATHWAY</v>
      </c>
      <c r="C5667" s="4">
        <v>25</v>
      </c>
      <c r="D5667" s="3">
        <v>-1.1546326</v>
      </c>
      <c r="E5667" s="1">
        <v>0.25581396000000001</v>
      </c>
      <c r="F5667" s="2">
        <v>0.47227229999999998</v>
      </c>
    </row>
    <row r="5668" spans="1:6" x14ac:dyDescent="0.25">
      <c r="A5668" t="s">
        <v>8</v>
      </c>
      <c r="B5668" s="5" t="str">
        <f>HYPERLINK("http://www.broadinstitute.org/gsea/msigdb/cards/GOMF_SNRNA_BINDING.html","GOMF_SNRNA_BINDING")</f>
        <v>GOMF_SNRNA_BINDING</v>
      </c>
      <c r="C5668" s="4">
        <v>41</v>
      </c>
      <c r="D5668" s="3">
        <v>-1.1549995</v>
      </c>
      <c r="E5668" s="1">
        <v>0.20930231999999999</v>
      </c>
      <c r="F5668" s="2">
        <v>0.47184405000000001</v>
      </c>
    </row>
    <row r="5669" spans="1:6" x14ac:dyDescent="0.25">
      <c r="A5669" t="s">
        <v>6</v>
      </c>
      <c r="B5669" s="5" t="str">
        <f>HYPERLINK("http://www.broadinstitute.org/gsea/msigdb/cards/GOBP_REGULATION_OF_CANONICAL_WNT_SIGNALING_PATHWAY.html","GOBP_REGULATION_OF_CANONICAL_WNT_SIGNALING_PATHWAY")</f>
        <v>GOBP_REGULATION_OF_CANONICAL_WNT_SIGNALING_PATHWAY</v>
      </c>
      <c r="C5669" s="4">
        <v>250</v>
      </c>
      <c r="D5669" s="3">
        <v>-1.1550328999999999</v>
      </c>
      <c r="E5669" s="1">
        <v>9.6000000000000002E-2</v>
      </c>
      <c r="F5669" s="2">
        <v>0.47225514000000002</v>
      </c>
    </row>
    <row r="5670" spans="1:6" x14ac:dyDescent="0.25">
      <c r="A5670" t="s">
        <v>10</v>
      </c>
      <c r="B5670" s="5" t="str">
        <f>HYPERLINK("http://www.broadinstitute.org/gsea/msigdb/cards/REACTOME_NOTCH_HLH_TRANSCRIPTION_PATHWAY.html","REACTOME_NOTCH_HLH_TRANSCRIPTION_PATHWAY")</f>
        <v>REACTOME_NOTCH_HLH_TRANSCRIPTION_PATHWAY</v>
      </c>
      <c r="C5670" s="4">
        <v>22</v>
      </c>
      <c r="D5670" s="3">
        <v>-1.1563934</v>
      </c>
      <c r="E5670" s="1">
        <v>0.24285714</v>
      </c>
      <c r="F5670" s="2">
        <v>0.46938523999999998</v>
      </c>
    </row>
    <row r="5671" spans="1:6" x14ac:dyDescent="0.25">
      <c r="A5671" t="s">
        <v>6</v>
      </c>
      <c r="B5671" s="5" t="str">
        <f>HYPERLINK("http://www.broadinstitute.org/gsea/msigdb/cards/GOBP_NEURON_PROJECTION_ARBORIZATION.html","GOBP_NEURON_PROJECTION_ARBORIZATION")</f>
        <v>GOBP_NEURON_PROJECTION_ARBORIZATION</v>
      </c>
      <c r="C5671" s="4">
        <v>32</v>
      </c>
      <c r="D5671" s="3">
        <v>-1.1564492</v>
      </c>
      <c r="E5671" s="1">
        <v>0.245</v>
      </c>
      <c r="F5671" s="2">
        <v>0.46974589999999999</v>
      </c>
    </row>
    <row r="5672" spans="1:6" x14ac:dyDescent="0.25">
      <c r="A5672" t="s">
        <v>6</v>
      </c>
      <c r="B5672" s="5" t="str">
        <f>HYPERLINK("http://www.broadinstitute.org/gsea/msigdb/cards/GOBP_CEREBELLAR_GRANULAR_LAYER_DEVELOPMENT.html","GOBP_CEREBELLAR_GRANULAR_LAYER_DEVELOPMENT")</f>
        <v>GOBP_CEREBELLAR_GRANULAR_LAYER_DEVELOPMENT</v>
      </c>
      <c r="C5672" s="4">
        <v>16</v>
      </c>
      <c r="D5672" s="3">
        <v>-1.1573445</v>
      </c>
      <c r="E5672" s="1">
        <v>0.27895979999999998</v>
      </c>
      <c r="F5672" s="2">
        <v>0.46803230000000001</v>
      </c>
    </row>
    <row r="5673" spans="1:6" x14ac:dyDescent="0.25">
      <c r="A5673" t="s">
        <v>7</v>
      </c>
      <c r="B5673" s="5" t="str">
        <f>HYPERLINK("http://www.broadinstitute.org/gsea/msigdb/cards/GOCC_MALE_GERM_CELL_NUCLEUS.html","GOCC_MALE_GERM_CELL_NUCLEUS")</f>
        <v>GOCC_MALE_GERM_CELL_NUCLEUS</v>
      </c>
      <c r="C5673" s="4">
        <v>76</v>
      </c>
      <c r="D5673" s="3">
        <v>-1.1577595000000001</v>
      </c>
      <c r="E5673" s="1">
        <v>0.20942408000000001</v>
      </c>
      <c r="F5673" s="2">
        <v>0.46750694999999998</v>
      </c>
    </row>
    <row r="5674" spans="1:6" x14ac:dyDescent="0.25">
      <c r="A5674" t="s">
        <v>6</v>
      </c>
      <c r="B5674" s="5" t="str">
        <f>HYPERLINK("http://www.broadinstitute.org/gsea/msigdb/cards/GOBP_HEMATOPOIETIC_STEM_CELL_DIFFERENTIATION.html","GOBP_HEMATOPOIETIC_STEM_CELL_DIFFERENTIATION")</f>
        <v>GOBP_HEMATOPOIETIC_STEM_CELL_DIFFERENTIATION</v>
      </c>
      <c r="C5674" s="4">
        <v>31</v>
      </c>
      <c r="D5674" s="3">
        <v>-1.1579963</v>
      </c>
      <c r="E5674" s="1">
        <v>0.20567374999999999</v>
      </c>
      <c r="F5674" s="2">
        <v>0.46741369999999999</v>
      </c>
    </row>
    <row r="5675" spans="1:6" x14ac:dyDescent="0.25">
      <c r="A5675" t="s">
        <v>8</v>
      </c>
      <c r="B5675" s="5" t="str">
        <f>HYPERLINK("http://www.broadinstitute.org/gsea/msigdb/cards/GOMF_SINGLE_STRANDED_RNA_BINDING.html","GOMF_SINGLE_STRANDED_RNA_BINDING")</f>
        <v>GOMF_SINGLE_STRANDED_RNA_BINDING</v>
      </c>
      <c r="C5675" s="4">
        <v>96</v>
      </c>
      <c r="D5675" s="3">
        <v>-1.1580584</v>
      </c>
      <c r="E5675" s="1">
        <v>0.15625</v>
      </c>
      <c r="F5675" s="2">
        <v>0.46774870000000002</v>
      </c>
    </row>
    <row r="5676" spans="1:6" x14ac:dyDescent="0.25">
      <c r="A5676" t="s">
        <v>6</v>
      </c>
      <c r="B5676" s="5" t="str">
        <f>HYPERLINK("http://www.broadinstitute.org/gsea/msigdb/cards/GOBP_PROSTATE_GLAND_MORPHOGENESIS.html","GOBP_PROSTATE_GLAND_MORPHOGENESIS")</f>
        <v>GOBP_PROSTATE_GLAND_MORPHOGENESIS</v>
      </c>
      <c r="C5676" s="4">
        <v>34</v>
      </c>
      <c r="D5676" s="3">
        <v>-1.1581519</v>
      </c>
      <c r="E5676" s="1">
        <v>0.2139423</v>
      </c>
      <c r="F5676" s="2">
        <v>0.46796963000000003</v>
      </c>
    </row>
    <row r="5677" spans="1:6" x14ac:dyDescent="0.25">
      <c r="A5677" t="s">
        <v>6</v>
      </c>
      <c r="B5677" s="5" t="str">
        <f>HYPERLINK("http://www.broadinstitute.org/gsea/msigdb/cards/GOBP_REGULATION_OF_TRANSCRIPTION_INVOLVED_IN_G1_S_TRANSITION_OF_MITOTIC_CELL_CYCLE.html","GOBP_REGULATION_OF_TRANSCRIPTION_INVOLVED_IN_G1_S_TRANSITION_OF_MITOTIC_CELL_CYCLE")</f>
        <v>GOBP_REGULATION_OF_TRANSCRIPTION_INVOLVED_IN_G1_S_TRANSITION_OF_MITOTIC_CELL_CYCLE</v>
      </c>
      <c r="C5677" s="4">
        <v>18</v>
      </c>
      <c r="D5677" s="3">
        <v>-1.158717</v>
      </c>
      <c r="E5677" s="1">
        <v>0.24429223999999999</v>
      </c>
      <c r="F5677" s="2">
        <v>0.46707369999999998</v>
      </c>
    </row>
    <row r="5678" spans="1:6" x14ac:dyDescent="0.25">
      <c r="A5678" t="s">
        <v>6</v>
      </c>
      <c r="B5678" s="5" t="str">
        <f>HYPERLINK("http://www.broadinstitute.org/gsea/msigdb/cards/GOBP_NADH_METABOLIC_PROCESS.html","GOBP_NADH_METABOLIC_PROCESS")</f>
        <v>GOBP_NADH_METABOLIC_PROCESS</v>
      </c>
      <c r="C5678" s="4">
        <v>17</v>
      </c>
      <c r="D5678" s="3">
        <v>-1.1599364999999999</v>
      </c>
      <c r="E5678" s="1">
        <v>0.27142859000000003</v>
      </c>
      <c r="F5678" s="2">
        <v>0.46470220000000001</v>
      </c>
    </row>
    <row r="5679" spans="1:6" x14ac:dyDescent="0.25">
      <c r="A5679" t="s">
        <v>6</v>
      </c>
      <c r="B5679" s="5" t="str">
        <f>HYPERLINK("http://www.broadinstitute.org/gsea/msigdb/cards/GOBP_REGULATION_OF_CIRCADIAN_RHYTHM.html","GOBP_REGULATION_OF_CIRCADIAN_RHYTHM")</f>
        <v>GOBP_REGULATION_OF_CIRCADIAN_RHYTHM</v>
      </c>
      <c r="C5679" s="4">
        <v>124</v>
      </c>
      <c r="D5679" s="3">
        <v>-1.1600888</v>
      </c>
      <c r="E5679" s="1">
        <v>0.15692307</v>
      </c>
      <c r="F5679" s="2">
        <v>0.46482964999999998</v>
      </c>
    </row>
    <row r="5680" spans="1:6" x14ac:dyDescent="0.25">
      <c r="A5680" t="s">
        <v>6</v>
      </c>
      <c r="B5680" s="5" t="str">
        <f>HYPERLINK("http://www.broadinstitute.org/gsea/msigdb/cards/GOBP_LUNG_EPITHELIUM_DEVELOPMENT.html","GOBP_LUNG_EPITHELIUM_DEVELOPMENT")</f>
        <v>GOBP_LUNG_EPITHELIUM_DEVELOPMENT</v>
      </c>
      <c r="C5680" s="4">
        <v>57</v>
      </c>
      <c r="D5680" s="3">
        <v>-1.1600912000000001</v>
      </c>
      <c r="E5680" s="1">
        <v>0.18487395000000001</v>
      </c>
      <c r="F5680" s="2">
        <v>0.46531384999999997</v>
      </c>
    </row>
    <row r="5681" spans="1:6" x14ac:dyDescent="0.25">
      <c r="A5681" t="s">
        <v>6</v>
      </c>
      <c r="B5681" s="5" t="str">
        <f>HYPERLINK("http://www.broadinstitute.org/gsea/msigdb/cards/GOBP_REGULATION_OF_ATP_DEPENDENT_ACTIVITY.html","GOBP_REGULATION_OF_ATP_DEPENDENT_ACTIVITY")</f>
        <v>GOBP_REGULATION_OF_ATP_DEPENDENT_ACTIVITY</v>
      </c>
      <c r="C5681" s="4">
        <v>72</v>
      </c>
      <c r="D5681" s="3">
        <v>-1.1608267000000001</v>
      </c>
      <c r="E5681" s="1">
        <v>0.17585301</v>
      </c>
      <c r="F5681" s="2">
        <v>0.46400243000000002</v>
      </c>
    </row>
    <row r="5682" spans="1:6" x14ac:dyDescent="0.25">
      <c r="A5682" t="s">
        <v>9</v>
      </c>
      <c r="B5682" s="5" t="str">
        <f>HYPERLINK("http://www.broadinstitute.org/gsea/msigdb/cards/HALLMARK_ADIPOGENESIS.html","HALLMARK_ADIPOGENESIS")</f>
        <v>HALLMARK_ADIPOGENESIS</v>
      </c>
      <c r="C5682" s="4">
        <v>200</v>
      </c>
      <c r="D5682" s="3">
        <v>-1.1609160000000001</v>
      </c>
      <c r="E5682" s="1">
        <v>0.10958904</v>
      </c>
      <c r="F5682" s="2">
        <v>0.46426114000000002</v>
      </c>
    </row>
    <row r="5683" spans="1:6" x14ac:dyDescent="0.25">
      <c r="A5683" t="s">
        <v>6</v>
      </c>
      <c r="B5683" s="5" t="str">
        <f>HYPERLINK("http://www.broadinstitute.org/gsea/msigdb/cards/GOBP_NEGATIVE_REGULATION_OF_GENE_EXPRESSION_EPIGENETIC.html","GOBP_NEGATIVE_REGULATION_OF_GENE_EXPRESSION_EPIGENETIC")</f>
        <v>GOBP_NEGATIVE_REGULATION_OF_GENE_EXPRESSION_EPIGENETIC</v>
      </c>
      <c r="C5683" s="4">
        <v>113</v>
      </c>
      <c r="D5683" s="3">
        <v>-1.1610322</v>
      </c>
      <c r="E5683" s="1">
        <v>0.15064101999999999</v>
      </c>
      <c r="F5683" s="2">
        <v>0.46447164000000002</v>
      </c>
    </row>
    <row r="5684" spans="1:6" x14ac:dyDescent="0.25">
      <c r="A5684" t="s">
        <v>6</v>
      </c>
      <c r="B5684" s="5" t="str">
        <f>HYPERLINK("http://www.broadinstitute.org/gsea/msigdb/cards/GOBP_NEGATIVE_REGULATION_OF_DNA_TEMPLATED_TRANSCRIPTION_ELONGATION.html","GOBP_NEGATIVE_REGULATION_OF_DNA_TEMPLATED_TRANSCRIPTION_ELONGATION")</f>
        <v>GOBP_NEGATIVE_REGULATION_OF_DNA_TEMPLATED_TRANSCRIPTION_ELONGATION</v>
      </c>
      <c r="C5684" s="4">
        <v>18</v>
      </c>
      <c r="D5684" s="3">
        <v>-1.1610503000000001</v>
      </c>
      <c r="E5684" s="1">
        <v>0.26570050000000001</v>
      </c>
      <c r="F5684" s="2">
        <v>0.46493286</v>
      </c>
    </row>
    <row r="5685" spans="1:6" x14ac:dyDescent="0.25">
      <c r="A5685" t="s">
        <v>6</v>
      </c>
      <c r="B5685" s="5" t="str">
        <f>HYPERLINK("http://www.broadinstitute.org/gsea/msigdb/cards/GOBP_REGULATION_OF_OLIGODENDROCYTE_DIFFERENTIATION.html","GOBP_REGULATION_OF_OLIGODENDROCYTE_DIFFERENTIATION")</f>
        <v>GOBP_REGULATION_OF_OLIGODENDROCYTE_DIFFERENTIATION</v>
      </c>
      <c r="C5685" s="4">
        <v>54</v>
      </c>
      <c r="D5685" s="3">
        <v>-1.1610514000000001</v>
      </c>
      <c r="E5685" s="1">
        <v>0.19623657</v>
      </c>
      <c r="F5685" s="2">
        <v>0.46542447999999997</v>
      </c>
    </row>
    <row r="5686" spans="1:6" x14ac:dyDescent="0.25">
      <c r="A5686" t="s">
        <v>6</v>
      </c>
      <c r="B5686" s="5" t="str">
        <f>HYPERLINK("http://www.broadinstitute.org/gsea/msigdb/cards/GOBP_DNA_UNWINDING_INVOLVED_IN_DNA_REPLICATION.html","GOBP_DNA_UNWINDING_INVOLVED_IN_DNA_REPLICATION")</f>
        <v>GOBP_DNA_UNWINDING_INVOLVED_IN_DNA_REPLICATION</v>
      </c>
      <c r="C5686" s="4">
        <v>20</v>
      </c>
      <c r="D5686" s="3">
        <v>-1.1610625999999999</v>
      </c>
      <c r="E5686" s="1">
        <v>0.235732</v>
      </c>
      <c r="F5686" s="2">
        <v>0.46589955999999999</v>
      </c>
    </row>
    <row r="5687" spans="1:6" x14ac:dyDescent="0.25">
      <c r="A5687" t="s">
        <v>6</v>
      </c>
      <c r="B5687" s="5" t="str">
        <f>HYPERLINK("http://www.broadinstitute.org/gsea/msigdb/cards/GOBP_INTRACELLULAR_POTASSIUM_ION_HOMEOSTASIS.html","GOBP_INTRACELLULAR_POTASSIUM_ION_HOMEOSTASIS")</f>
        <v>GOBP_INTRACELLULAR_POTASSIUM_ION_HOMEOSTASIS</v>
      </c>
      <c r="C5687" s="4">
        <v>15</v>
      </c>
      <c r="D5687" s="3">
        <v>-1.1617230999999999</v>
      </c>
      <c r="E5687" s="1">
        <v>0.23529412</v>
      </c>
      <c r="F5687" s="2">
        <v>0.46480376000000001</v>
      </c>
    </row>
    <row r="5688" spans="1:6" x14ac:dyDescent="0.25">
      <c r="A5688" t="s">
        <v>8</v>
      </c>
      <c r="B5688" s="5" t="str">
        <f>HYPERLINK("http://www.broadinstitute.org/gsea/msigdb/cards/GOMF_NUCLEAR_ESTROGEN_RECEPTOR_BINDING.html","GOMF_NUCLEAR_ESTROGEN_RECEPTOR_BINDING")</f>
        <v>GOMF_NUCLEAR_ESTROGEN_RECEPTOR_BINDING</v>
      </c>
      <c r="C5688" s="4">
        <v>50</v>
      </c>
      <c r="D5688" s="3">
        <v>-1.1620382</v>
      </c>
      <c r="E5688" s="1">
        <v>0.18844221999999999</v>
      </c>
      <c r="F5688" s="2">
        <v>0.46450648</v>
      </c>
    </row>
    <row r="5689" spans="1:6" x14ac:dyDescent="0.25">
      <c r="A5689" t="s">
        <v>7</v>
      </c>
      <c r="B5689" s="5" t="str">
        <f>HYPERLINK("http://www.broadinstitute.org/gsea/msigdb/cards/GOCC_CILIARY_PLASM.html","GOCC_CILIARY_PLASM")</f>
        <v>GOCC_CILIARY_PLASM</v>
      </c>
      <c r="C5689" s="4">
        <v>168</v>
      </c>
      <c r="D5689" s="3">
        <v>-1.1620729999999999</v>
      </c>
      <c r="E5689" s="1">
        <v>0.13483145999999999</v>
      </c>
      <c r="F5689" s="2">
        <v>0.46490749999999997</v>
      </c>
    </row>
    <row r="5690" spans="1:6" x14ac:dyDescent="0.25">
      <c r="A5690" t="s">
        <v>10</v>
      </c>
      <c r="B5690" s="5" t="str">
        <f>HYPERLINK("http://www.broadinstitute.org/gsea/msigdb/cards/REACTOME_REGULATION_OF_TP53_ACTIVITY_THROUGH_PHOSPHORYLATION.html","REACTOME_REGULATION_OF_TP53_ACTIVITY_THROUGH_PHOSPHORYLATION")</f>
        <v>REACTOME_REGULATION_OF_TP53_ACTIVITY_THROUGH_PHOSPHORYLATION</v>
      </c>
      <c r="C5690" s="4">
        <v>88</v>
      </c>
      <c r="D5690" s="3">
        <v>-1.1624391999999999</v>
      </c>
      <c r="E5690" s="1">
        <v>0.16809115999999999</v>
      </c>
      <c r="F5690" s="2">
        <v>0.46454906000000001</v>
      </c>
    </row>
    <row r="5691" spans="1:6" x14ac:dyDescent="0.25">
      <c r="A5691" t="s">
        <v>10</v>
      </c>
      <c r="B5691" s="5" t="str">
        <f>HYPERLINK("http://www.broadinstitute.org/gsea/msigdb/cards/REACTOME_FATTY_ACYL_COA_BIOSYNTHESIS.html","REACTOME_FATTY_ACYL_COA_BIOSYNTHESIS")</f>
        <v>REACTOME_FATTY_ACYL_COA_BIOSYNTHESIS</v>
      </c>
      <c r="C5691" s="4">
        <v>32</v>
      </c>
      <c r="D5691" s="3">
        <v>-1.1625041</v>
      </c>
      <c r="E5691" s="1">
        <v>0.20952381</v>
      </c>
      <c r="F5691" s="2">
        <v>0.46487689999999998</v>
      </c>
    </row>
    <row r="5692" spans="1:6" x14ac:dyDescent="0.25">
      <c r="A5692" t="s">
        <v>6</v>
      </c>
      <c r="B5692" s="5" t="str">
        <f>HYPERLINK("http://www.broadinstitute.org/gsea/msigdb/cards/GOBP_PHYSIOLOGICAL_CARDIAC_MUSCLE_HYPERTROPHY.html","GOBP_PHYSIOLOGICAL_CARDIAC_MUSCLE_HYPERTROPHY")</f>
        <v>GOBP_PHYSIOLOGICAL_CARDIAC_MUSCLE_HYPERTROPHY</v>
      </c>
      <c r="C5692" s="4">
        <v>48</v>
      </c>
      <c r="D5692" s="3">
        <v>-1.1625506000000001</v>
      </c>
      <c r="E5692" s="1">
        <v>0.20370369999999999</v>
      </c>
      <c r="F5692" s="2">
        <v>0.46527243000000001</v>
      </c>
    </row>
    <row r="5693" spans="1:6" x14ac:dyDescent="0.25">
      <c r="A5693" t="s">
        <v>6</v>
      </c>
      <c r="B5693" s="5" t="str">
        <f>HYPERLINK("http://www.broadinstitute.org/gsea/msigdb/cards/GOBP_POSITIVE_REGULATION_OF_MRNA_METABOLIC_PROCESS.html","GOBP_POSITIVE_REGULATION_OF_MRNA_METABOLIC_PROCESS")</f>
        <v>GOBP_POSITIVE_REGULATION_OF_MRNA_METABOLIC_PROCESS</v>
      </c>
      <c r="C5693" s="4">
        <v>130</v>
      </c>
      <c r="D5693" s="3">
        <v>-1.1640469</v>
      </c>
      <c r="E5693" s="1">
        <v>0.12951808000000001</v>
      </c>
      <c r="F5693" s="2">
        <v>0.46217045000000001</v>
      </c>
    </row>
    <row r="5694" spans="1:6" x14ac:dyDescent="0.25">
      <c r="A5694" t="s">
        <v>8</v>
      </c>
      <c r="B5694" s="5" t="str">
        <f>HYPERLINK("http://www.broadinstitute.org/gsea/msigdb/cards/GOMF_PROTEIN_TYROSINE_SERINE_THREONINE_PHOSPHATASE_ACTIVITY.html","GOMF_PROTEIN_TYROSINE_SERINE_THREONINE_PHOSPHATASE_ACTIVITY")</f>
        <v>GOMF_PROTEIN_TYROSINE_SERINE_THREONINE_PHOSPHATASE_ACTIVITY</v>
      </c>
      <c r="C5694" s="4">
        <v>39</v>
      </c>
      <c r="D5694" s="3">
        <v>-1.1640786000000001</v>
      </c>
      <c r="E5694" s="1">
        <v>0.23157895000000001</v>
      </c>
      <c r="F5694" s="2">
        <v>0.46259256999999998</v>
      </c>
    </row>
    <row r="5695" spans="1:6" x14ac:dyDescent="0.25">
      <c r="A5695" t="s">
        <v>7</v>
      </c>
      <c r="B5695" s="5" t="str">
        <f>HYPERLINK("http://www.broadinstitute.org/gsea/msigdb/cards/GOCC_COP9_SIGNALOSOME.html","GOCC_COP9_SIGNALOSOME")</f>
        <v>GOCC_COP9_SIGNALOSOME</v>
      </c>
      <c r="C5695" s="4">
        <v>34</v>
      </c>
      <c r="D5695" s="3">
        <v>-1.1641094999999999</v>
      </c>
      <c r="E5695" s="1">
        <v>0.21410580000000001</v>
      </c>
      <c r="F5695" s="2">
        <v>0.46300718000000002</v>
      </c>
    </row>
    <row r="5696" spans="1:6" x14ac:dyDescent="0.25">
      <c r="A5696" t="s">
        <v>6</v>
      </c>
      <c r="B5696" s="5" t="str">
        <f>HYPERLINK("http://www.broadinstitute.org/gsea/msigdb/cards/GOBP_CIRCADIAN_RHYTHM.html","GOBP_CIRCADIAN_RHYTHM")</f>
        <v>GOBP_CIRCADIAN_RHYTHM</v>
      </c>
      <c r="C5696" s="4">
        <v>221</v>
      </c>
      <c r="D5696" s="3">
        <v>-1.164185</v>
      </c>
      <c r="E5696" s="1">
        <v>0.10469314</v>
      </c>
      <c r="F5696" s="2">
        <v>0.46329219999999999</v>
      </c>
    </row>
    <row r="5697" spans="1:6" x14ac:dyDescent="0.25">
      <c r="A5697" t="s">
        <v>8</v>
      </c>
      <c r="B5697" s="5" t="str">
        <f>HYPERLINK("http://www.broadinstitute.org/gsea/msigdb/cards/GOMF_NEUROTROPHIN_RECEPTOR_BINDING.html","GOMF_NEUROTROPHIN_RECEPTOR_BINDING")</f>
        <v>GOMF_NEUROTROPHIN_RECEPTOR_BINDING</v>
      </c>
      <c r="C5697" s="4">
        <v>16</v>
      </c>
      <c r="D5697" s="3">
        <v>-1.1645205000000001</v>
      </c>
      <c r="E5697" s="1">
        <v>0.25806449999999997</v>
      </c>
      <c r="F5697" s="2">
        <v>0.46297958</v>
      </c>
    </row>
    <row r="5698" spans="1:6" x14ac:dyDescent="0.25">
      <c r="A5698" t="s">
        <v>6</v>
      </c>
      <c r="B5698" s="5" t="str">
        <f>HYPERLINK("http://www.broadinstitute.org/gsea/msigdb/cards/GOBP_TELENCEPHALON_DEVELOPMENT.html","GOBP_TELENCEPHALON_DEVELOPMENT")</f>
        <v>GOBP_TELENCEPHALON_DEVELOPMENT</v>
      </c>
      <c r="C5698" s="4">
        <v>265</v>
      </c>
      <c r="D5698" s="3">
        <v>-1.1654449</v>
      </c>
      <c r="E5698" s="1">
        <v>7.5313809999999995E-2</v>
      </c>
      <c r="F5698" s="2">
        <v>0.46124791999999998</v>
      </c>
    </row>
    <row r="5699" spans="1:6" x14ac:dyDescent="0.25">
      <c r="A5699" t="s">
        <v>6</v>
      </c>
      <c r="B5699" s="5" t="str">
        <f>HYPERLINK("http://www.broadinstitute.org/gsea/msigdb/cards/GOBP_CELLULAR_RESPONSE_TO_IONIZING_RADIATION.html","GOBP_CELLULAR_RESPONSE_TO_IONIZING_RADIATION")</f>
        <v>GOBP_CELLULAR_RESPONSE_TO_IONIZING_RADIATION</v>
      </c>
      <c r="C5699" s="4">
        <v>70</v>
      </c>
      <c r="D5699" s="3">
        <v>-1.1660817999999999</v>
      </c>
      <c r="E5699" s="1">
        <v>0.18783068999999999</v>
      </c>
      <c r="F5699" s="2">
        <v>0.4601924</v>
      </c>
    </row>
    <row r="5700" spans="1:6" x14ac:dyDescent="0.25">
      <c r="A5700" t="s">
        <v>6</v>
      </c>
      <c r="B5700" s="5" t="str">
        <f>HYPERLINK("http://www.broadinstitute.org/gsea/msigdb/cards/GOBP_MITOTIC_SISTER_CHROMATID_COHESION.html","GOBP_MITOTIC_SISTER_CHROMATID_COHESION")</f>
        <v>GOBP_MITOTIC_SISTER_CHROMATID_COHESION</v>
      </c>
      <c r="C5700" s="4">
        <v>26</v>
      </c>
      <c r="D5700" s="3">
        <v>-1.1670206999999999</v>
      </c>
      <c r="E5700" s="1">
        <v>0.23844282</v>
      </c>
      <c r="F5700" s="2">
        <v>0.45842764000000003</v>
      </c>
    </row>
    <row r="5701" spans="1:6" x14ac:dyDescent="0.25">
      <c r="A5701" t="s">
        <v>7</v>
      </c>
      <c r="B5701" s="5" t="str">
        <f>HYPERLINK("http://www.broadinstitute.org/gsea/msigdb/cards/GOCC_H4_HISTONE_ACETYLTRANSFERASE_COMPLEX.html","GOCC_H4_HISTONE_ACETYLTRANSFERASE_COMPLEX")</f>
        <v>GOCC_H4_HISTONE_ACETYLTRANSFERASE_COMPLEX</v>
      </c>
      <c r="C5701" s="4">
        <v>40</v>
      </c>
      <c r="D5701" s="3">
        <v>-1.1677812000000001</v>
      </c>
      <c r="E5701" s="1">
        <v>0.20744681000000001</v>
      </c>
      <c r="F5701" s="2">
        <v>0.45708453999999998</v>
      </c>
    </row>
    <row r="5702" spans="1:6" x14ac:dyDescent="0.25">
      <c r="A5702" t="s">
        <v>6</v>
      </c>
      <c r="B5702" s="5" t="str">
        <f>HYPERLINK("http://www.broadinstitute.org/gsea/msigdb/cards/GOBP_CENTRAL_NERVOUS_SYSTEM_NEURON_AXONOGENESIS.html","GOBP_CENTRAL_NERVOUS_SYSTEM_NEURON_AXONOGENESIS")</f>
        <v>GOBP_CENTRAL_NERVOUS_SYSTEM_NEURON_AXONOGENESIS</v>
      </c>
      <c r="C5702" s="4">
        <v>45</v>
      </c>
      <c r="D5702" s="3">
        <v>-1.1679824999999999</v>
      </c>
      <c r="E5702" s="1">
        <v>0.19143577000000001</v>
      </c>
      <c r="F5702" s="2">
        <v>0.45709875</v>
      </c>
    </row>
    <row r="5703" spans="1:6" x14ac:dyDescent="0.25">
      <c r="A5703" t="s">
        <v>6</v>
      </c>
      <c r="B5703" s="5" t="str">
        <f>HYPERLINK("http://www.broadinstitute.org/gsea/msigdb/cards/GOBP_DIGESTIVE_TRACT_MORPHOGENESIS.html","GOBP_DIGESTIVE_TRACT_MORPHOGENESIS")</f>
        <v>GOBP_DIGESTIVE_TRACT_MORPHOGENESIS</v>
      </c>
      <c r="C5703" s="4">
        <v>51</v>
      </c>
      <c r="D5703" s="3">
        <v>-1.1683394</v>
      </c>
      <c r="E5703" s="1">
        <v>0.20053476000000001</v>
      </c>
      <c r="F5703" s="2">
        <v>0.45673117000000002</v>
      </c>
    </row>
    <row r="5704" spans="1:6" x14ac:dyDescent="0.25">
      <c r="A5704" t="s">
        <v>6</v>
      </c>
      <c r="B5704" s="5" t="str">
        <f>HYPERLINK("http://www.broadinstitute.org/gsea/msigdb/cards/GOBP_REGULATION_OF_NEURON_APOPTOTIC_PROCESS.html","GOBP_REGULATION_OF_NEURON_APOPTOTIC_PROCESS")</f>
        <v>GOBP_REGULATION_OF_NEURON_APOPTOTIC_PROCESS</v>
      </c>
      <c r="C5704" s="4">
        <v>309</v>
      </c>
      <c r="D5704" s="3">
        <v>-1.1693317999999999</v>
      </c>
      <c r="E5704" s="1">
        <v>6.6371680000000002E-2</v>
      </c>
      <c r="F5704" s="2">
        <v>0.45481893000000001</v>
      </c>
    </row>
    <row r="5705" spans="1:6" x14ac:dyDescent="0.25">
      <c r="A5705" t="s">
        <v>6</v>
      </c>
      <c r="B5705" s="5" t="str">
        <f>HYPERLINK("http://www.broadinstitute.org/gsea/msigdb/cards/GOBP_NEGATIVE_REGULATION_OF_NEURON_APOPTOTIC_PROCESS.html","GOBP_NEGATIVE_REGULATION_OF_NEURON_APOPTOTIC_PROCESS")</f>
        <v>GOBP_NEGATIVE_REGULATION_OF_NEURON_APOPTOTIC_PROCESS</v>
      </c>
      <c r="C5705" s="4">
        <v>211</v>
      </c>
      <c r="D5705" s="3">
        <v>-1.1695070000000001</v>
      </c>
      <c r="E5705" s="1">
        <v>0.10689655000000001</v>
      </c>
      <c r="F5705" s="2">
        <v>0.4548857</v>
      </c>
    </row>
    <row r="5706" spans="1:6" x14ac:dyDescent="0.25">
      <c r="A5706" t="s">
        <v>6</v>
      </c>
      <c r="B5706" s="5" t="str">
        <f>HYPERLINK("http://www.broadinstitute.org/gsea/msigdb/cards/GOBP_SPERM_DNA_CONDENSATION.html","GOBP_SPERM_DNA_CONDENSATION")</f>
        <v>GOBP_SPERM_DNA_CONDENSATION</v>
      </c>
      <c r="C5706" s="4">
        <v>16</v>
      </c>
      <c r="D5706" s="3">
        <v>-1.1695403</v>
      </c>
      <c r="E5706" s="1">
        <v>0.23076922999999999</v>
      </c>
      <c r="F5706" s="2">
        <v>0.45530253999999998</v>
      </c>
    </row>
    <row r="5707" spans="1:6" x14ac:dyDescent="0.25">
      <c r="A5707" t="s">
        <v>8</v>
      </c>
      <c r="B5707" s="5" t="str">
        <f>HYPERLINK("http://www.broadinstitute.org/gsea/msigdb/cards/GOMF_PLUS_END_DIRECTED_MICROTUBULE_MOTOR_ACTIVITY.html","GOMF_PLUS_END_DIRECTED_MICROTUBULE_MOTOR_ACTIVITY")</f>
        <v>GOMF_PLUS_END_DIRECTED_MICROTUBULE_MOTOR_ACTIVITY</v>
      </c>
      <c r="C5707" s="4">
        <v>15</v>
      </c>
      <c r="D5707" s="3">
        <v>-1.1711244999999999</v>
      </c>
      <c r="E5707" s="1">
        <v>0.27725117999999999</v>
      </c>
      <c r="F5707" s="2">
        <v>0.45203065999999997</v>
      </c>
    </row>
    <row r="5708" spans="1:6" x14ac:dyDescent="0.25">
      <c r="A5708" t="s">
        <v>6</v>
      </c>
      <c r="B5708" s="5" t="str">
        <f>HYPERLINK("http://www.broadinstitute.org/gsea/msigdb/cards/GOBP_PROTEIN_LOCALIZATION_TO_POSTSYNAPSE.html","GOBP_PROTEIN_LOCALIZATION_TO_POSTSYNAPSE")</f>
        <v>GOBP_PROTEIN_LOCALIZATION_TO_POSTSYNAPSE</v>
      </c>
      <c r="C5708" s="4">
        <v>68</v>
      </c>
      <c r="D5708" s="3">
        <v>-1.1711754999999999</v>
      </c>
      <c r="E5708" s="1">
        <v>0.17846154</v>
      </c>
      <c r="F5708" s="2">
        <v>0.45239182999999999</v>
      </c>
    </row>
    <row r="5709" spans="1:6" x14ac:dyDescent="0.25">
      <c r="A5709" t="s">
        <v>6</v>
      </c>
      <c r="B5709" s="5" t="str">
        <f>HYPERLINK("http://www.broadinstitute.org/gsea/msigdb/cards/GOBP_POSITIVE_REGULATION_OF_SODIUM_ION_TRANSMEMBRANE_TRANSPORT.html","GOBP_POSITIVE_REGULATION_OF_SODIUM_ION_TRANSMEMBRANE_TRANSPORT")</f>
        <v>GOBP_POSITIVE_REGULATION_OF_SODIUM_ION_TRANSMEMBRANE_TRANSPORT</v>
      </c>
      <c r="C5709" s="4">
        <v>25</v>
      </c>
      <c r="D5709" s="3">
        <v>-1.1712688</v>
      </c>
      <c r="E5709" s="1">
        <v>0.20902613</v>
      </c>
      <c r="F5709" s="2">
        <v>0.45264359999999998</v>
      </c>
    </row>
    <row r="5710" spans="1:6" x14ac:dyDescent="0.25">
      <c r="A5710" t="s">
        <v>6</v>
      </c>
      <c r="B5710" s="5" t="str">
        <f>HYPERLINK("http://www.broadinstitute.org/gsea/msigdb/cards/GOBP_SISTER_CHROMATID_COHESION.html","GOBP_SISTER_CHROMATID_COHESION")</f>
        <v>GOBP_SISTER_CHROMATID_COHESION</v>
      </c>
      <c r="C5710" s="4">
        <v>56</v>
      </c>
      <c r="D5710" s="3">
        <v>-1.1722167999999999</v>
      </c>
      <c r="E5710" s="1">
        <v>0.18309858000000001</v>
      </c>
      <c r="F5710" s="2">
        <v>0.45079854000000003</v>
      </c>
    </row>
    <row r="5711" spans="1:6" x14ac:dyDescent="0.25">
      <c r="A5711" t="s">
        <v>6</v>
      </c>
      <c r="B5711" s="5" t="str">
        <f>HYPERLINK("http://www.broadinstitute.org/gsea/msigdb/cards/GOBP_PROSTATE_GLAND_DEVELOPMENT.html","GOBP_PROSTATE_GLAND_DEVELOPMENT")</f>
        <v>GOBP_PROSTATE_GLAND_DEVELOPMENT</v>
      </c>
      <c r="C5711" s="4">
        <v>52</v>
      </c>
      <c r="D5711" s="3">
        <v>-1.1726338000000001</v>
      </c>
      <c r="E5711" s="1">
        <v>0.17679559</v>
      </c>
      <c r="F5711" s="2">
        <v>0.4503066</v>
      </c>
    </row>
    <row r="5712" spans="1:6" x14ac:dyDescent="0.25">
      <c r="A5712" t="s">
        <v>6</v>
      </c>
      <c r="B5712" s="5" t="str">
        <f>HYPERLINK("http://www.broadinstitute.org/gsea/msigdb/cards/GOBP_METANEPHRIC_NEPHRON_MORPHOGENESIS.html","GOBP_METANEPHRIC_NEPHRON_MORPHOGENESIS")</f>
        <v>GOBP_METANEPHRIC_NEPHRON_MORPHOGENESIS</v>
      </c>
      <c r="C5712" s="4">
        <v>21</v>
      </c>
      <c r="D5712" s="3">
        <v>-1.1727246</v>
      </c>
      <c r="E5712" s="1">
        <v>0.24867724999999999</v>
      </c>
      <c r="F5712" s="2">
        <v>0.45060208000000002</v>
      </c>
    </row>
    <row r="5713" spans="1:6" x14ac:dyDescent="0.25">
      <c r="A5713" t="s">
        <v>6</v>
      </c>
      <c r="B5713" s="5" t="str">
        <f>HYPERLINK("http://www.broadinstitute.org/gsea/msigdb/cards/GOBP_3_UTR_MEDIATED_MRNA_STABILIZATION.html","GOBP_3_UTR_MEDIATED_MRNA_STABILIZATION")</f>
        <v>GOBP_3_UTR_MEDIATED_MRNA_STABILIZATION</v>
      </c>
      <c r="C5713" s="4">
        <v>21</v>
      </c>
      <c r="D5713" s="3">
        <v>-1.1728828</v>
      </c>
      <c r="E5713" s="1">
        <v>0.23357664</v>
      </c>
      <c r="F5713" s="2">
        <v>0.45070677999999997</v>
      </c>
    </row>
    <row r="5714" spans="1:6" x14ac:dyDescent="0.25">
      <c r="A5714" t="s">
        <v>6</v>
      </c>
      <c r="B5714" s="5" t="str">
        <f>HYPERLINK("http://www.broadinstitute.org/gsea/msigdb/cards/GOBP_NEGATIVE_REGULATION_OF_NEURON_DIFFERENTIATION.html","GOBP_NEGATIVE_REGULATION_OF_NEURON_DIFFERENTIATION")</f>
        <v>GOBP_NEGATIVE_REGULATION_OF_NEURON_DIFFERENTIATION</v>
      </c>
      <c r="C5714" s="4">
        <v>90</v>
      </c>
      <c r="D5714" s="3">
        <v>-1.1729769000000001</v>
      </c>
      <c r="E5714" s="1">
        <v>0.16477273000000001</v>
      </c>
      <c r="F5714" s="2">
        <v>0.45097609999999999</v>
      </c>
    </row>
    <row r="5715" spans="1:6" x14ac:dyDescent="0.25">
      <c r="A5715" t="s">
        <v>7</v>
      </c>
      <c r="B5715" s="5" t="str">
        <f>HYPERLINK("http://www.broadinstitute.org/gsea/msigdb/cards/GOCC_DYNEIN_COMPLEX.html","GOCC_DYNEIN_COMPLEX")</f>
        <v>GOCC_DYNEIN_COMPLEX</v>
      </c>
      <c r="C5715" s="4">
        <v>58</v>
      </c>
      <c r="D5715" s="3">
        <v>-1.1737279</v>
      </c>
      <c r="E5715" s="1">
        <v>0.18133332999999999</v>
      </c>
      <c r="F5715" s="2">
        <v>0.44976349999999998</v>
      </c>
    </row>
    <row r="5716" spans="1:6" x14ac:dyDescent="0.25">
      <c r="A5716" t="s">
        <v>6</v>
      </c>
      <c r="B5716" s="5" t="str">
        <f>HYPERLINK("http://www.broadinstitute.org/gsea/msigdb/cards/GOBP_REGULATION_OF_ANIMAL_ORGAN_FORMATION.html","GOBP_REGULATION_OF_ANIMAL_ORGAN_FORMATION")</f>
        <v>GOBP_REGULATION_OF_ANIMAL_ORGAN_FORMATION</v>
      </c>
      <c r="C5716" s="4">
        <v>32</v>
      </c>
      <c r="D5716" s="3">
        <v>-1.1737569999999999</v>
      </c>
      <c r="E5716" s="1">
        <v>0.20443349999999999</v>
      </c>
      <c r="F5716" s="2">
        <v>0.4501735</v>
      </c>
    </row>
    <row r="5717" spans="1:6" x14ac:dyDescent="0.25">
      <c r="A5717" t="s">
        <v>6</v>
      </c>
      <c r="B5717" s="5" t="str">
        <f>HYPERLINK("http://www.broadinstitute.org/gsea/msigdb/cards/GOBP_RETINAL_ROD_CELL_DIFFERENTIATION.html","GOBP_RETINAL_ROD_CELL_DIFFERENTIATION")</f>
        <v>GOBP_RETINAL_ROD_CELL_DIFFERENTIATION</v>
      </c>
      <c r="C5717" s="4">
        <v>21</v>
      </c>
      <c r="D5717" s="3">
        <v>-1.1740231999999999</v>
      </c>
      <c r="E5717" s="1">
        <v>0.235732</v>
      </c>
      <c r="F5717" s="2">
        <v>0.45005378000000001</v>
      </c>
    </row>
    <row r="5718" spans="1:6" x14ac:dyDescent="0.25">
      <c r="A5718" t="s">
        <v>8</v>
      </c>
      <c r="B5718" s="5" t="str">
        <f>HYPERLINK("http://www.broadinstitute.org/gsea/msigdb/cards/GOMF_ATPASE_BINDING.html","GOMF_ATPASE_BINDING")</f>
        <v>GOMF_ATPASE_BINDING</v>
      </c>
      <c r="C5718" s="4">
        <v>96</v>
      </c>
      <c r="D5718" s="3">
        <v>-1.1740387999999999</v>
      </c>
      <c r="E5718" s="1">
        <v>0.15542522</v>
      </c>
      <c r="F5718" s="2">
        <v>0.45050301999999998</v>
      </c>
    </row>
    <row r="5719" spans="1:6" x14ac:dyDescent="0.25">
      <c r="A5719" t="s">
        <v>9</v>
      </c>
      <c r="B5719" s="5" t="str">
        <f>HYPERLINK("http://www.broadinstitute.org/gsea/msigdb/cards/HALLMARK_MYC_TARGETS_V1.html","HALLMARK_MYC_TARGETS_V1")</f>
        <v>HALLMARK_MYC_TARGETS_V1</v>
      </c>
      <c r="C5719" s="4">
        <v>191</v>
      </c>
      <c r="D5719" s="3">
        <v>-1.1747874</v>
      </c>
      <c r="E5719" s="1">
        <v>8.7947880000000006E-2</v>
      </c>
      <c r="F5719" s="2">
        <v>0.44920546</v>
      </c>
    </row>
    <row r="5720" spans="1:6" x14ac:dyDescent="0.25">
      <c r="A5720" t="s">
        <v>7</v>
      </c>
      <c r="B5720" s="5" t="str">
        <f>HYPERLINK("http://www.broadinstitute.org/gsea/msigdb/cards/GOCC_SODIUM_CHANNEL_COMPLEX.html","GOCC_SODIUM_CHANNEL_COMPLEX")</f>
        <v>GOCC_SODIUM_CHANNEL_COMPLEX</v>
      </c>
      <c r="C5720" s="4">
        <v>28</v>
      </c>
      <c r="D5720" s="3">
        <v>-1.1753880000000001</v>
      </c>
      <c r="E5720" s="1">
        <v>0.22434367</v>
      </c>
      <c r="F5720" s="2">
        <v>0.4481985</v>
      </c>
    </row>
    <row r="5721" spans="1:6" x14ac:dyDescent="0.25">
      <c r="A5721" t="s">
        <v>6</v>
      </c>
      <c r="B5721" s="5" t="str">
        <f>HYPERLINK("http://www.broadinstitute.org/gsea/msigdb/cards/GOBP_HISTONE_METHYLATION.html","GOBP_HISTONE_METHYLATION")</f>
        <v>GOBP_HISTONE_METHYLATION</v>
      </c>
      <c r="C5721" s="4">
        <v>53</v>
      </c>
      <c r="D5721" s="3">
        <v>-1.175427</v>
      </c>
      <c r="E5721" s="1">
        <v>0.18434343</v>
      </c>
      <c r="F5721" s="2">
        <v>0.44860998000000002</v>
      </c>
    </row>
    <row r="5722" spans="1:6" x14ac:dyDescent="0.25">
      <c r="A5722" t="s">
        <v>6</v>
      </c>
      <c r="B5722" s="5" t="str">
        <f>HYPERLINK("http://www.broadinstitute.org/gsea/msigdb/cards/GOBP_REGULATION_OF_DOUBLE_STRAND_BREAK_REPAIR_VIA_HOMOLOGOUS_RECOMBINATION.html","GOBP_REGULATION_OF_DOUBLE_STRAND_BREAK_REPAIR_VIA_HOMOLOGOUS_RECOMBINATION")</f>
        <v>GOBP_REGULATION_OF_DOUBLE_STRAND_BREAK_REPAIR_VIA_HOMOLOGOUS_RECOMBINATION</v>
      </c>
      <c r="C5722" s="4">
        <v>72</v>
      </c>
      <c r="D5722" s="3">
        <v>-1.1754632</v>
      </c>
      <c r="E5722" s="1">
        <v>0.17127070999999999</v>
      </c>
      <c r="F5722" s="2">
        <v>0.44902303999999998</v>
      </c>
    </row>
    <row r="5723" spans="1:6" x14ac:dyDescent="0.25">
      <c r="A5723" t="s">
        <v>6</v>
      </c>
      <c r="B5723" s="5" t="str">
        <f>HYPERLINK("http://www.broadinstitute.org/gsea/msigdb/cards/GOBP_CILIUM_MOVEMENT.html","GOBP_CILIUM_MOVEMENT")</f>
        <v>GOBP_CILIUM_MOVEMENT</v>
      </c>
      <c r="C5723" s="4">
        <v>212</v>
      </c>
      <c r="D5723" s="3">
        <v>-1.1755103</v>
      </c>
      <c r="E5723" s="1">
        <v>5.4945055E-2</v>
      </c>
      <c r="F5723" s="2">
        <v>0.44940524999999998</v>
      </c>
    </row>
    <row r="5724" spans="1:6" x14ac:dyDescent="0.25">
      <c r="A5724" t="s">
        <v>8</v>
      </c>
      <c r="B5724" s="5" t="str">
        <f>HYPERLINK("http://www.broadinstitute.org/gsea/msigdb/cards/GOMF_TRANSLATION_ELONGATION_FACTOR_ACTIVITY.html","GOMF_TRANSLATION_ELONGATION_FACTOR_ACTIVITY")</f>
        <v>GOMF_TRANSLATION_ELONGATION_FACTOR_ACTIVITY</v>
      </c>
      <c r="C5724" s="4">
        <v>17</v>
      </c>
      <c r="D5724" s="3">
        <v>-1.1761998</v>
      </c>
      <c r="E5724" s="1">
        <v>0.25</v>
      </c>
      <c r="F5724" s="2">
        <v>0.44831326999999999</v>
      </c>
    </row>
    <row r="5725" spans="1:6" x14ac:dyDescent="0.25">
      <c r="A5725" t="s">
        <v>10</v>
      </c>
      <c r="B5725" s="5" t="str">
        <f>HYPERLINK("http://www.broadinstitute.org/gsea/msigdb/cards/REACTOME_DNA_DAMAGE_RECOGNITION_IN_GG_NER.html","REACTOME_DNA_DAMAGE_RECOGNITION_IN_GG_NER")</f>
        <v>REACTOME_DNA_DAMAGE_RECOGNITION_IN_GG_NER</v>
      </c>
      <c r="C5725" s="4">
        <v>38</v>
      </c>
      <c r="D5725" s="3">
        <v>-1.1762562999999999</v>
      </c>
      <c r="E5725" s="1">
        <v>0.2</v>
      </c>
      <c r="F5725" s="2">
        <v>0.44868255000000001</v>
      </c>
    </row>
    <row r="5726" spans="1:6" x14ac:dyDescent="0.25">
      <c r="A5726" t="s">
        <v>6</v>
      </c>
      <c r="B5726" s="5" t="str">
        <f>HYPERLINK("http://www.broadinstitute.org/gsea/msigdb/cards/GOBP_REGULATION_OF_MRNA_CATABOLIC_PROCESS.html","GOBP_REGULATION_OF_MRNA_CATABOLIC_PROCESS")</f>
        <v>GOBP_REGULATION_OF_MRNA_CATABOLIC_PROCESS</v>
      </c>
      <c r="C5726" s="4">
        <v>174</v>
      </c>
      <c r="D5726" s="3">
        <v>-1.1767445999999999</v>
      </c>
      <c r="E5726" s="1">
        <v>9.4915256000000003E-2</v>
      </c>
      <c r="F5726" s="2">
        <v>0.44806269999999998</v>
      </c>
    </row>
    <row r="5727" spans="1:6" x14ac:dyDescent="0.25">
      <c r="A5727" t="s">
        <v>7</v>
      </c>
      <c r="B5727" s="5" t="str">
        <f>HYPERLINK("http://www.broadinstitute.org/gsea/msigdb/cards/GOCC_HISTONE_ACETYLTRANSFERASE_COMPLEX.html","GOCC_HISTONE_ACETYLTRANSFERASE_COMPLEX")</f>
        <v>GOCC_HISTONE_ACETYLTRANSFERASE_COMPLEX</v>
      </c>
      <c r="C5727" s="4">
        <v>87</v>
      </c>
      <c r="D5727" s="3">
        <v>-1.1770795999999999</v>
      </c>
      <c r="E5727" s="1">
        <v>0.17333333000000001</v>
      </c>
      <c r="F5727" s="2">
        <v>0.44780779999999998</v>
      </c>
    </row>
    <row r="5728" spans="1:6" x14ac:dyDescent="0.25">
      <c r="A5728" t="s">
        <v>8</v>
      </c>
      <c r="B5728" s="5" t="str">
        <f>HYPERLINK("http://www.broadinstitute.org/gsea/msigdb/cards/GOMF_GATED_CHANNEL_ACTIVITY.html","GOMF_GATED_CHANNEL_ACTIVITY")</f>
        <v>GOMF_GATED_CHANNEL_ACTIVITY</v>
      </c>
      <c r="C5728" s="4">
        <v>308</v>
      </c>
      <c r="D5728" s="3">
        <v>-1.1771532</v>
      </c>
      <c r="E5728" s="1">
        <v>9.1703060000000003E-2</v>
      </c>
      <c r="F5728" s="2">
        <v>0.44812770000000002</v>
      </c>
    </row>
    <row r="5729" spans="1:6" x14ac:dyDescent="0.25">
      <c r="A5729" t="s">
        <v>10</v>
      </c>
      <c r="B5729" s="5" t="str">
        <f>HYPERLINK("http://www.broadinstitute.org/gsea/msigdb/cards/REACTOME_GLUTATHIONE_CONJUGATION.html","REACTOME_GLUTATHIONE_CONJUGATION")</f>
        <v>REACTOME_GLUTATHIONE_CONJUGATION</v>
      </c>
      <c r="C5729" s="4">
        <v>37</v>
      </c>
      <c r="D5729" s="3">
        <v>-1.1772351000000001</v>
      </c>
      <c r="E5729" s="1">
        <v>0.19664267999999999</v>
      </c>
      <c r="F5729" s="2">
        <v>0.44842919999999997</v>
      </c>
    </row>
    <row r="5730" spans="1:6" x14ac:dyDescent="0.25">
      <c r="A5730" t="s">
        <v>10</v>
      </c>
      <c r="B5730" s="5" t="str">
        <f>HYPERLINK("http://www.broadinstitute.org/gsea/msigdb/cards/REACTOME_DNA_REPLICATION.html","REACTOME_DNA_REPLICATION")</f>
        <v>REACTOME_DNA_REPLICATION</v>
      </c>
      <c r="C5730" s="4">
        <v>125</v>
      </c>
      <c r="D5730" s="3">
        <v>-1.1774435999999999</v>
      </c>
      <c r="E5730" s="1">
        <v>0.13015873999999999</v>
      </c>
      <c r="F5730" s="2">
        <v>0.44843899999999998</v>
      </c>
    </row>
    <row r="5731" spans="1:6" x14ac:dyDescent="0.25">
      <c r="A5731" t="s">
        <v>6</v>
      </c>
      <c r="B5731" s="5" t="str">
        <f>HYPERLINK("http://www.broadinstitute.org/gsea/msigdb/cards/GOBP_PROTEIN_FOLDING.html","GOBP_PROTEIN_FOLDING")</f>
        <v>GOBP_PROTEIN_FOLDING</v>
      </c>
      <c r="C5731" s="4">
        <v>163</v>
      </c>
      <c r="D5731" s="3">
        <v>-1.1777409000000001</v>
      </c>
      <c r="E5731" s="1">
        <v>9.9656359999999999E-2</v>
      </c>
      <c r="F5731" s="2">
        <v>0.44823345999999997</v>
      </c>
    </row>
    <row r="5732" spans="1:6" x14ac:dyDescent="0.25">
      <c r="A5732" t="s">
        <v>8</v>
      </c>
      <c r="B5732" s="5" t="str">
        <f>HYPERLINK("http://www.broadinstitute.org/gsea/msigdb/cards/GOMF_NEUROPEPTIDE_ACTIVITY.html","GOMF_NEUROPEPTIDE_ACTIVITY")</f>
        <v>GOMF_NEUROPEPTIDE_ACTIVITY</v>
      </c>
      <c r="C5732" s="4">
        <v>25</v>
      </c>
      <c r="D5732" s="3">
        <v>-1.1784467999999999</v>
      </c>
      <c r="E5732" s="1">
        <v>0.20390454999999999</v>
      </c>
      <c r="F5732" s="2">
        <v>0.44704798000000001</v>
      </c>
    </row>
    <row r="5733" spans="1:6" x14ac:dyDescent="0.25">
      <c r="A5733" t="s">
        <v>7</v>
      </c>
      <c r="B5733" s="5" t="str">
        <f>HYPERLINK("http://www.broadinstitute.org/gsea/msigdb/cards/GOCC_POSTSYNAPTIC_MEMBRANE.html","GOCC_POSTSYNAPTIC_MEMBRANE")</f>
        <v>GOCC_POSTSYNAPTIC_MEMBRANE</v>
      </c>
      <c r="C5733" s="4">
        <v>346</v>
      </c>
      <c r="D5733" s="3">
        <v>-1.1785315999999999</v>
      </c>
      <c r="E5733" s="1">
        <v>3.7815128000000003E-2</v>
      </c>
      <c r="F5733" s="2">
        <v>0.44734287</v>
      </c>
    </row>
    <row r="5734" spans="1:6" x14ac:dyDescent="0.25">
      <c r="A5734" t="s">
        <v>6</v>
      </c>
      <c r="B5734" s="5" t="str">
        <f>HYPERLINK("http://www.broadinstitute.org/gsea/msigdb/cards/GOBP_EMBRYONIC_FORELIMB_MORPHOGENESIS.html","GOBP_EMBRYONIC_FORELIMB_MORPHOGENESIS")</f>
        <v>GOBP_EMBRYONIC_FORELIMB_MORPHOGENESIS</v>
      </c>
      <c r="C5734" s="4">
        <v>36</v>
      </c>
      <c r="D5734" s="3">
        <v>-1.1788194999999999</v>
      </c>
      <c r="E5734" s="1">
        <v>0.19211823</v>
      </c>
      <c r="F5734" s="2">
        <v>0.44715747</v>
      </c>
    </row>
    <row r="5735" spans="1:6" x14ac:dyDescent="0.25">
      <c r="A5735" t="s">
        <v>8</v>
      </c>
      <c r="B5735" s="5" t="str">
        <f>HYPERLINK("http://www.broadinstitute.org/gsea/msigdb/cards/GOMF_NUCLEAR_STEROID_RECEPTOR_ACTIVITY.html","GOMF_NUCLEAR_STEROID_RECEPTOR_ACTIVITY")</f>
        <v>GOMF_NUCLEAR_STEROID_RECEPTOR_ACTIVITY</v>
      </c>
      <c r="C5735" s="4">
        <v>18</v>
      </c>
      <c r="D5735" s="3">
        <v>-1.1788510000000001</v>
      </c>
      <c r="E5735" s="1">
        <v>0.23041475</v>
      </c>
      <c r="F5735" s="2">
        <v>0.44759068000000002</v>
      </c>
    </row>
    <row r="5736" spans="1:6" x14ac:dyDescent="0.25">
      <c r="A5736" t="s">
        <v>7</v>
      </c>
      <c r="B5736" s="5" t="str">
        <f>HYPERLINK("http://www.broadinstitute.org/gsea/msigdb/cards/GOCC_MICROTUBULE_END.html","GOCC_MICROTUBULE_END")</f>
        <v>GOCC_MICROTUBULE_END</v>
      </c>
      <c r="C5736" s="4">
        <v>35</v>
      </c>
      <c r="D5736" s="3">
        <v>-1.17903</v>
      </c>
      <c r="E5736" s="1">
        <v>0.20448878000000001</v>
      </c>
      <c r="F5736" s="2">
        <v>0.44768400000000003</v>
      </c>
    </row>
    <row r="5737" spans="1:6" x14ac:dyDescent="0.25">
      <c r="A5737" t="s">
        <v>6</v>
      </c>
      <c r="B5737" s="5" t="str">
        <f>HYPERLINK("http://www.broadinstitute.org/gsea/msigdb/cards/GOBP_FOREBRAIN_GENERATION_OF_NEURONS.html","GOBP_FOREBRAIN_GENERATION_OF_NEURONS")</f>
        <v>GOBP_FOREBRAIN_GENERATION_OF_NEURONS</v>
      </c>
      <c r="C5737" s="4">
        <v>65</v>
      </c>
      <c r="D5737" s="3">
        <v>-1.1804162</v>
      </c>
      <c r="E5737" s="1">
        <v>0.14285714999999999</v>
      </c>
      <c r="F5737" s="2">
        <v>0.44495645</v>
      </c>
    </row>
    <row r="5738" spans="1:6" x14ac:dyDescent="0.25">
      <c r="A5738" t="s">
        <v>6</v>
      </c>
      <c r="B5738" s="5" t="str">
        <f>HYPERLINK("http://www.broadinstitute.org/gsea/msigdb/cards/GOBP_POSITIVE_REGULATION_OF_GLUCONEOGENESIS.html","GOBP_POSITIVE_REGULATION_OF_GLUCONEOGENESIS")</f>
        <v>GOBP_POSITIVE_REGULATION_OF_GLUCONEOGENESIS</v>
      </c>
      <c r="C5738" s="4">
        <v>25</v>
      </c>
      <c r="D5738" s="3">
        <v>-1.1805733</v>
      </c>
      <c r="E5738" s="1">
        <v>0.21904762</v>
      </c>
      <c r="F5738" s="2">
        <v>0.44509085999999998</v>
      </c>
    </row>
    <row r="5739" spans="1:6" x14ac:dyDescent="0.25">
      <c r="A5739" t="s">
        <v>10</v>
      </c>
      <c r="B5739" s="5" t="str">
        <f>HYPERLINK("http://www.broadinstitute.org/gsea/msigdb/cards/REACTOME_CITRIC_ACID_CYCLE_TCA_CYCLE.html","REACTOME_CITRIC_ACID_CYCLE_TCA_CYCLE")</f>
        <v>REACTOME_CITRIC_ACID_CYCLE_TCA_CYCLE</v>
      </c>
      <c r="C5739" s="4">
        <v>22</v>
      </c>
      <c r="D5739" s="3">
        <v>-1.1810187999999999</v>
      </c>
      <c r="E5739" s="1">
        <v>0.22055137</v>
      </c>
      <c r="F5739" s="2">
        <v>0.44455749999999999</v>
      </c>
    </row>
    <row r="5740" spans="1:6" x14ac:dyDescent="0.25">
      <c r="A5740" t="s">
        <v>6</v>
      </c>
      <c r="B5740" s="5" t="str">
        <f>HYPERLINK("http://www.broadinstitute.org/gsea/msigdb/cards/GOBP_CANONICAL_WNT_SIGNALING_PATHWAY.html","GOBP_CANONICAL_WNT_SIGNALING_PATHWAY")</f>
        <v>GOBP_CANONICAL_WNT_SIGNALING_PATHWAY</v>
      </c>
      <c r="C5740" s="4">
        <v>302</v>
      </c>
      <c r="D5740" s="3">
        <v>-1.1810547</v>
      </c>
      <c r="E5740" s="1">
        <v>4.2735044E-2</v>
      </c>
      <c r="F5740" s="2">
        <v>0.44497271999999999</v>
      </c>
    </row>
    <row r="5741" spans="1:6" x14ac:dyDescent="0.25">
      <c r="A5741" t="s">
        <v>6</v>
      </c>
      <c r="B5741" s="5" t="str">
        <f>HYPERLINK("http://www.broadinstitute.org/gsea/msigdb/cards/GOBP_TETRAPYRROLE_BIOSYNTHETIC_PROCESS.html","GOBP_TETRAPYRROLE_BIOSYNTHETIC_PROCESS")</f>
        <v>GOBP_TETRAPYRROLE_BIOSYNTHETIC_PROCESS</v>
      </c>
      <c r="C5741" s="4">
        <v>31</v>
      </c>
      <c r="D5741" s="3">
        <v>-1.1812913</v>
      </c>
      <c r="E5741" s="1">
        <v>0.200489</v>
      </c>
      <c r="F5741" s="2">
        <v>0.44489099999999998</v>
      </c>
    </row>
    <row r="5742" spans="1:6" x14ac:dyDescent="0.25">
      <c r="A5742" t="s">
        <v>6</v>
      </c>
      <c r="B5742" s="5" t="str">
        <f>HYPERLINK("http://www.broadinstitute.org/gsea/msigdb/cards/GOBP_MUSCLE_CONTRACTION.html","GOBP_MUSCLE_CONTRACTION")</f>
        <v>GOBP_MUSCLE_CONTRACTION</v>
      </c>
      <c r="C5742" s="4">
        <v>317</v>
      </c>
      <c r="D5742" s="3">
        <v>-1.1822045999999999</v>
      </c>
      <c r="E5742" s="1">
        <v>7.1428574999999994E-2</v>
      </c>
      <c r="F5742" s="2">
        <v>0.44319528000000002</v>
      </c>
    </row>
    <row r="5743" spans="1:6" x14ac:dyDescent="0.25">
      <c r="A5743" t="s">
        <v>10</v>
      </c>
      <c r="B5743" s="5" t="str">
        <f>HYPERLINK("http://www.broadinstitute.org/gsea/msigdb/cards/REACTOME_PROCESSING_OF_DNA_DOUBLE_STRAND_BREAK_ENDS.html","REACTOME_PROCESSING_OF_DNA_DOUBLE_STRAND_BREAK_ENDS")</f>
        <v>REACTOME_PROCESSING_OF_DNA_DOUBLE_STRAND_BREAK_ENDS</v>
      </c>
      <c r="C5743" s="4">
        <v>84</v>
      </c>
      <c r="D5743" s="3">
        <v>-1.1828407000000001</v>
      </c>
      <c r="E5743" s="1">
        <v>0.14044942999999999</v>
      </c>
      <c r="F5743" s="2">
        <v>0.44220211999999998</v>
      </c>
    </row>
    <row r="5744" spans="1:6" x14ac:dyDescent="0.25">
      <c r="A5744" t="s">
        <v>6</v>
      </c>
      <c r="B5744" s="5" t="str">
        <f>HYPERLINK("http://www.broadinstitute.org/gsea/msigdb/cards/GOBP_REGULATION_OF_DNA_METHYLATION.html","GOBP_REGULATION_OF_DNA_METHYLATION")</f>
        <v>GOBP_REGULATION_OF_DNA_METHYLATION</v>
      </c>
      <c r="C5744" s="4">
        <v>15</v>
      </c>
      <c r="D5744" s="3">
        <v>-1.1835237999999999</v>
      </c>
      <c r="E5744" s="1">
        <v>0.20470588000000001</v>
      </c>
      <c r="F5744" s="2">
        <v>0.44105794999999998</v>
      </c>
    </row>
    <row r="5745" spans="1:6" x14ac:dyDescent="0.25">
      <c r="A5745" t="s">
        <v>6</v>
      </c>
      <c r="B5745" s="5" t="str">
        <f>HYPERLINK("http://www.broadinstitute.org/gsea/msigdb/cards/GOBP_NEGATIVE_REGULATION_OF_STEM_CELL_PROLIFERATION.html","GOBP_NEGATIVE_REGULATION_OF_STEM_CELL_PROLIFERATION")</f>
        <v>GOBP_NEGATIVE_REGULATION_OF_STEM_CELL_PROLIFERATION</v>
      </c>
      <c r="C5745" s="4">
        <v>28</v>
      </c>
      <c r="D5745" s="3">
        <v>-1.1836009000000001</v>
      </c>
      <c r="E5745" s="1">
        <v>0.24189526</v>
      </c>
      <c r="F5745" s="2">
        <v>0.44138303000000001</v>
      </c>
    </row>
    <row r="5746" spans="1:6" x14ac:dyDescent="0.25">
      <c r="A5746" t="s">
        <v>6</v>
      </c>
      <c r="B5746" s="5" t="str">
        <f>HYPERLINK("http://www.broadinstitute.org/gsea/msigdb/cards/GOBP_NUCLEAR_TRANSCRIBED_MRNA_CATABOLIC_PROCESS_EXONUCLEOLYTIC.html","GOBP_NUCLEAR_TRANSCRIBED_MRNA_CATABOLIC_PROCESS_EXONUCLEOLYTIC")</f>
        <v>GOBP_NUCLEAR_TRANSCRIBED_MRNA_CATABOLIC_PROCESS_EXONUCLEOLYTIC</v>
      </c>
      <c r="C5746" s="4">
        <v>16</v>
      </c>
      <c r="D5746" s="3">
        <v>-1.1837173000000001</v>
      </c>
      <c r="E5746" s="1">
        <v>0.25952380000000003</v>
      </c>
      <c r="F5746" s="2">
        <v>0.44162216999999998</v>
      </c>
    </row>
    <row r="5747" spans="1:6" x14ac:dyDescent="0.25">
      <c r="A5747" t="s">
        <v>6</v>
      </c>
      <c r="B5747" s="5" t="str">
        <f>HYPERLINK("http://www.broadinstitute.org/gsea/msigdb/cards/GOBP_NEGATIVE_REGULATION_OF_STRIATED_MUSCLE_CELL_DIFFERENTIATION.html","GOBP_NEGATIVE_REGULATION_OF_STRIATED_MUSCLE_CELL_DIFFERENTIATION")</f>
        <v>GOBP_NEGATIVE_REGULATION_OF_STRIATED_MUSCLE_CELL_DIFFERENTIATION</v>
      </c>
      <c r="C5747" s="4">
        <v>43</v>
      </c>
      <c r="D5747" s="3">
        <v>-1.1838945999999999</v>
      </c>
      <c r="E5747" s="1">
        <v>0.18784529999999999</v>
      </c>
      <c r="F5747" s="2">
        <v>0.44172326000000001</v>
      </c>
    </row>
    <row r="5748" spans="1:6" x14ac:dyDescent="0.25">
      <c r="A5748" t="s">
        <v>6</v>
      </c>
      <c r="B5748" s="5" t="str">
        <f>HYPERLINK("http://www.broadinstitute.org/gsea/msigdb/cards/GOBP_NEGATIVE_REGULATION_OF_WNT_SIGNALING_PATHWAY.html","GOBP_NEGATIVE_REGULATION_OF_WNT_SIGNALING_PATHWAY")</f>
        <v>GOBP_NEGATIVE_REGULATION_OF_WNT_SIGNALING_PATHWAY</v>
      </c>
      <c r="C5748" s="4">
        <v>169</v>
      </c>
      <c r="D5748" s="3">
        <v>-1.1845015000000001</v>
      </c>
      <c r="E5748" s="1">
        <v>8.5714289999999999E-2</v>
      </c>
      <c r="F5748" s="2">
        <v>0.44081979999999998</v>
      </c>
    </row>
    <row r="5749" spans="1:6" x14ac:dyDescent="0.25">
      <c r="A5749" t="s">
        <v>8</v>
      </c>
      <c r="B5749" s="5" t="str">
        <f>HYPERLINK("http://www.broadinstitute.org/gsea/msigdb/cards/GOMF_JUN_KINASE_BINDING.html","GOMF_JUN_KINASE_BINDING")</f>
        <v>GOMF_JUN_KINASE_BINDING</v>
      </c>
      <c r="C5749" s="4">
        <v>17</v>
      </c>
      <c r="D5749" s="3">
        <v>-1.184706</v>
      </c>
      <c r="E5749" s="1">
        <v>0.21707317000000001</v>
      </c>
      <c r="F5749" s="2">
        <v>0.44084114000000002</v>
      </c>
    </row>
    <row r="5750" spans="1:6" x14ac:dyDescent="0.25">
      <c r="A5750" t="s">
        <v>6</v>
      </c>
      <c r="B5750" s="5" t="str">
        <f>HYPERLINK("http://www.broadinstitute.org/gsea/msigdb/cards/GOBP_VENTRICULAR_SYSTEM_DEVELOPMENT.html","GOBP_VENTRICULAR_SYSTEM_DEVELOPMENT")</f>
        <v>GOBP_VENTRICULAR_SYSTEM_DEVELOPMENT</v>
      </c>
      <c r="C5750" s="4">
        <v>38</v>
      </c>
      <c r="D5750" s="3">
        <v>-1.1857522</v>
      </c>
      <c r="E5750" s="1">
        <v>0.20551379</v>
      </c>
      <c r="F5750" s="2">
        <v>0.43900070000000002</v>
      </c>
    </row>
    <row r="5751" spans="1:6" x14ac:dyDescent="0.25">
      <c r="A5751" t="s">
        <v>6</v>
      </c>
      <c r="B5751" s="5" t="str">
        <f>HYPERLINK("http://www.broadinstitute.org/gsea/msigdb/cards/GOBP_NEURON_APOPTOTIC_PROCESS.html","GOBP_NEURON_APOPTOTIC_PROCESS")</f>
        <v>GOBP_NEURON_APOPTOTIC_PROCESS</v>
      </c>
      <c r="C5751" s="4">
        <v>359</v>
      </c>
      <c r="D5751" s="3">
        <v>-1.1866635999999999</v>
      </c>
      <c r="E5751" s="1">
        <v>4.5643154999999998E-2</v>
      </c>
      <c r="F5751" s="2">
        <v>0.43737062999999998</v>
      </c>
    </row>
    <row r="5752" spans="1:6" x14ac:dyDescent="0.25">
      <c r="A5752" t="s">
        <v>10</v>
      </c>
      <c r="B5752" s="5" t="str">
        <f>HYPERLINK("http://www.broadinstitute.org/gsea/msigdb/cards/REACTOME_DNA_REPLICATION_PRE_INITIATION.html","REACTOME_DNA_REPLICATION_PRE_INITIATION")</f>
        <v>REACTOME_DNA_REPLICATION_PRE_INITIATION</v>
      </c>
      <c r="C5752" s="4">
        <v>97</v>
      </c>
      <c r="D5752" s="3">
        <v>-1.1869787000000001</v>
      </c>
      <c r="E5752" s="1">
        <v>0.14325842</v>
      </c>
      <c r="F5752" s="2">
        <v>0.43713869999999999</v>
      </c>
    </row>
    <row r="5753" spans="1:6" x14ac:dyDescent="0.25">
      <c r="A5753" t="s">
        <v>8</v>
      </c>
      <c r="B5753" s="5" t="str">
        <f>HYPERLINK("http://www.broadinstitute.org/gsea/msigdb/cards/GOMF_MONOATOMIC_ANION_SODIUM_SYMPORTER_ACTIVITY.html","GOMF_MONOATOMIC_ANION_SODIUM_SYMPORTER_ACTIVITY")</f>
        <v>GOMF_MONOATOMIC_ANION_SODIUM_SYMPORTER_ACTIVITY</v>
      </c>
      <c r="C5753" s="4">
        <v>19</v>
      </c>
      <c r="D5753" s="3">
        <v>-1.1873376</v>
      </c>
      <c r="E5753" s="1">
        <v>0.24009901</v>
      </c>
      <c r="F5753" s="2">
        <v>0.43680893999999998</v>
      </c>
    </row>
    <row r="5754" spans="1:6" x14ac:dyDescent="0.25">
      <c r="A5754" t="s">
        <v>10</v>
      </c>
      <c r="B5754" s="5" t="str">
        <f>HYPERLINK("http://www.broadinstitute.org/gsea/msigdb/cards/REACTOME_NUCLEAR_RECEPTOR_TRANSCRIPTION_PATHWAY.html","REACTOME_NUCLEAR_RECEPTOR_TRANSCRIPTION_PATHWAY")</f>
        <v>REACTOME_NUCLEAR_RECEPTOR_TRANSCRIPTION_PATHWAY</v>
      </c>
      <c r="C5754" s="4">
        <v>47</v>
      </c>
      <c r="D5754" s="3">
        <v>-1.1874752</v>
      </c>
      <c r="E5754" s="1">
        <v>0.16707617</v>
      </c>
      <c r="F5754" s="2">
        <v>0.43697750000000002</v>
      </c>
    </row>
    <row r="5755" spans="1:6" x14ac:dyDescent="0.25">
      <c r="A5755" t="s">
        <v>11</v>
      </c>
      <c r="B5755" s="5" t="str">
        <f>HYPERLINK("http://www.broadinstitute.org/gsea/msigdb/cards/WP_MECP2_AND_ASSOCIATED_RETT_SYNDROME.html","WP_MECP2_AND_ASSOCIATED_RETT_SYNDROME")</f>
        <v>WP_MECP2_AND_ASSOCIATED_RETT_SYNDROME</v>
      </c>
      <c r="C5755" s="4">
        <v>44</v>
      </c>
      <c r="D5755" s="3">
        <v>-1.1874927</v>
      </c>
      <c r="E5755" s="1">
        <v>0.15802469999999999</v>
      </c>
      <c r="F5755" s="2">
        <v>0.43744179999999999</v>
      </c>
    </row>
    <row r="5756" spans="1:6" x14ac:dyDescent="0.25">
      <c r="A5756" t="s">
        <v>6</v>
      </c>
      <c r="B5756" s="5" t="str">
        <f>HYPERLINK("http://www.broadinstitute.org/gsea/msigdb/cards/GOBP_CARDIAC_MUSCLE_CONTRACTION.html","GOBP_CARDIAC_MUSCLE_CONTRACTION")</f>
        <v>GOBP_CARDIAC_MUSCLE_CONTRACTION</v>
      </c>
      <c r="C5756" s="4">
        <v>129</v>
      </c>
      <c r="D5756" s="3">
        <v>-1.1887589999999999</v>
      </c>
      <c r="E5756" s="1">
        <v>9.3939393999999996E-2</v>
      </c>
      <c r="F5756" s="2">
        <v>0.43494153000000002</v>
      </c>
    </row>
    <row r="5757" spans="1:6" x14ac:dyDescent="0.25">
      <c r="A5757" t="s">
        <v>6</v>
      </c>
      <c r="B5757" s="5" t="str">
        <f>HYPERLINK("http://www.broadinstitute.org/gsea/msigdb/cards/GOBP_ODONTOGENESIS.html","GOBP_ODONTOGENESIS")</f>
        <v>GOBP_ODONTOGENESIS</v>
      </c>
      <c r="C5757" s="4">
        <v>128</v>
      </c>
      <c r="D5757" s="3">
        <v>-1.1890916</v>
      </c>
      <c r="E5757" s="1">
        <v>0.1</v>
      </c>
      <c r="F5757" s="2">
        <v>0.43465350000000003</v>
      </c>
    </row>
    <row r="5758" spans="1:6" x14ac:dyDescent="0.25">
      <c r="A5758" t="s">
        <v>6</v>
      </c>
      <c r="B5758" s="5" t="str">
        <f>HYPERLINK("http://www.broadinstitute.org/gsea/msigdb/cards/GOBP_OLIGODENDROCYTE_DIFFERENTIATION.html","GOBP_OLIGODENDROCYTE_DIFFERENTIATION")</f>
        <v>GOBP_OLIGODENDROCYTE_DIFFERENTIATION</v>
      </c>
      <c r="C5758" s="4">
        <v>117</v>
      </c>
      <c r="D5758" s="3">
        <v>-1.189236</v>
      </c>
      <c r="E5758" s="1">
        <v>0.114285715</v>
      </c>
      <c r="F5758" s="2">
        <v>0.43482654999999998</v>
      </c>
    </row>
    <row r="5759" spans="1:6" x14ac:dyDescent="0.25">
      <c r="A5759" t="s">
        <v>8</v>
      </c>
      <c r="B5759" s="5" t="str">
        <f>HYPERLINK("http://www.broadinstitute.org/gsea/msigdb/cards/GOMF_ATPASE_COUPLED_ION_TRANSMEMBRANE_TRANSPORTER_ACTIVITY.html","GOMF_ATPASE_COUPLED_ION_TRANSMEMBRANE_TRANSPORTER_ACTIVITY")</f>
        <v>GOMF_ATPASE_COUPLED_ION_TRANSMEMBRANE_TRANSPORTER_ACTIVITY</v>
      </c>
      <c r="C5759" s="4">
        <v>22</v>
      </c>
      <c r="D5759" s="3">
        <v>-1.1897688</v>
      </c>
      <c r="E5759" s="1">
        <v>0.22168674999999999</v>
      </c>
      <c r="F5759" s="2">
        <v>0.43407547000000002</v>
      </c>
    </row>
    <row r="5760" spans="1:6" x14ac:dyDescent="0.25">
      <c r="A5760" t="s">
        <v>6</v>
      </c>
      <c r="B5760" s="5" t="str">
        <f>HYPERLINK("http://www.broadinstitute.org/gsea/msigdb/cards/GOBP_TRANSCRIPTION_ELONGATION_BY_RNA_POLYMERASE_II.html","GOBP_TRANSCRIPTION_ELONGATION_BY_RNA_POLYMERASE_II")</f>
        <v>GOBP_TRANSCRIPTION_ELONGATION_BY_RNA_POLYMERASE_II</v>
      </c>
      <c r="C5760" s="4">
        <v>96</v>
      </c>
      <c r="D5760" s="3">
        <v>-1.1898694000000001</v>
      </c>
      <c r="E5760" s="1">
        <v>0.13783783999999999</v>
      </c>
      <c r="F5760" s="2">
        <v>0.43433326</v>
      </c>
    </row>
    <row r="5761" spans="1:6" x14ac:dyDescent="0.25">
      <c r="A5761" t="s">
        <v>10</v>
      </c>
      <c r="B5761" s="5" t="str">
        <f>HYPERLINK("http://www.broadinstitute.org/gsea/msigdb/cards/REACTOME_METABOLISM_OF_AMINO_ACIDS_AND_DERIVATIVES.html","REACTOME_METABOLISM_OF_AMINO_ACIDS_AND_DERIVATIVES")</f>
        <v>REACTOME_METABOLISM_OF_AMINO_ACIDS_AND_DERIVATIVES</v>
      </c>
      <c r="C5761" s="4">
        <v>248</v>
      </c>
      <c r="D5761" s="3">
        <v>-1.1904466</v>
      </c>
      <c r="E5761" s="1">
        <v>6.7415729999999993E-2</v>
      </c>
      <c r="F5761" s="2">
        <v>0.43349495999999998</v>
      </c>
    </row>
    <row r="5762" spans="1:6" x14ac:dyDescent="0.25">
      <c r="A5762" t="s">
        <v>6</v>
      </c>
      <c r="B5762" s="5" t="str">
        <f>HYPERLINK("http://www.broadinstitute.org/gsea/msigdb/cards/GOBP_BRANCHING_MORPHOGENESIS_OF_A_NERVE.html","GOBP_BRANCHING_MORPHOGENESIS_OF_A_NERVE")</f>
        <v>GOBP_BRANCHING_MORPHOGENESIS_OF_A_NERVE</v>
      </c>
      <c r="C5762" s="4">
        <v>15</v>
      </c>
      <c r="D5762" s="3">
        <v>-1.1906703000000001</v>
      </c>
      <c r="E5762" s="1">
        <v>0.22727273000000001</v>
      </c>
      <c r="F5762" s="2">
        <v>0.43346541999999999</v>
      </c>
    </row>
    <row r="5763" spans="1:6" x14ac:dyDescent="0.25">
      <c r="A5763" t="s">
        <v>6</v>
      </c>
      <c r="B5763" s="5" t="str">
        <f>HYPERLINK("http://www.broadinstitute.org/gsea/msigdb/cards/GOBP_CELL_DIFFERENTIATION_IN_SPINAL_CORD.html","GOBP_CELL_DIFFERENTIATION_IN_SPINAL_CORD")</f>
        <v>GOBP_CELL_DIFFERENTIATION_IN_SPINAL_CORD</v>
      </c>
      <c r="C5763" s="4">
        <v>52</v>
      </c>
      <c r="D5763" s="3">
        <v>-1.1910014</v>
      </c>
      <c r="E5763" s="1">
        <v>0.17158176999999999</v>
      </c>
      <c r="F5763" s="2">
        <v>0.43312788000000002</v>
      </c>
    </row>
    <row r="5764" spans="1:6" x14ac:dyDescent="0.25">
      <c r="A5764" t="s">
        <v>10</v>
      </c>
      <c r="B5764" s="5" t="str">
        <f>HYPERLINK("http://www.broadinstitute.org/gsea/msigdb/cards/REACTOME_RHOBTB2_GTPASE_CYCLE.html","REACTOME_RHOBTB2_GTPASE_CYCLE")</f>
        <v>REACTOME_RHOBTB2_GTPASE_CYCLE</v>
      </c>
      <c r="C5764" s="4">
        <v>22</v>
      </c>
      <c r="D5764" s="3">
        <v>-1.1910871999999999</v>
      </c>
      <c r="E5764" s="1">
        <v>0.20740739999999999</v>
      </c>
      <c r="F5764" s="2">
        <v>0.43343163000000001</v>
      </c>
    </row>
    <row r="5765" spans="1:6" x14ac:dyDescent="0.25">
      <c r="A5765" t="s">
        <v>5</v>
      </c>
      <c r="B5765" s="5" t="str">
        <f>HYPERLINK("http://www.broadinstitute.org/gsea/msigdb/cards/BIOCARTA_CELLCYCLE_PATHWAY.html","BIOCARTA_CELLCYCLE_PATHWAY")</f>
        <v>BIOCARTA_CELLCYCLE_PATHWAY</v>
      </c>
      <c r="C5765" s="4">
        <v>23</v>
      </c>
      <c r="D5765" s="3">
        <v>-1.1912498</v>
      </c>
      <c r="E5765" s="1">
        <v>0.22169812</v>
      </c>
      <c r="F5765" s="2">
        <v>0.43355592999999998</v>
      </c>
    </row>
    <row r="5766" spans="1:6" x14ac:dyDescent="0.25">
      <c r="A5766" t="s">
        <v>7</v>
      </c>
      <c r="B5766" s="5" t="str">
        <f>HYPERLINK("http://www.broadinstitute.org/gsea/msigdb/cards/GOCC_MONOATOMIC_ION_CHANNEL_COMPLEX.html","GOCC_MONOATOMIC_ION_CHANNEL_COMPLEX")</f>
        <v>GOCC_MONOATOMIC_ION_CHANNEL_COMPLEX</v>
      </c>
      <c r="C5766" s="4">
        <v>289</v>
      </c>
      <c r="D5766" s="3">
        <v>-1.1916853999999999</v>
      </c>
      <c r="E5766" s="1">
        <v>0.04</v>
      </c>
      <c r="F5766" s="2">
        <v>0.43308014</v>
      </c>
    </row>
    <row r="5767" spans="1:6" x14ac:dyDescent="0.25">
      <c r="A5767" t="s">
        <v>8</v>
      </c>
      <c r="B5767" s="5" t="str">
        <f>HYPERLINK("http://www.broadinstitute.org/gsea/msigdb/cards/GOMF_OXIDOREDUCTASE_ACTIVITY_ACTING_ON_NAD_P_H.html","GOMF_OXIDOREDUCTASE_ACTIVITY_ACTING_ON_NAD_P_H")</f>
        <v>GOMF_OXIDOREDUCTASE_ACTIVITY_ACTING_ON_NAD_P_H</v>
      </c>
      <c r="C5767" s="4">
        <v>61</v>
      </c>
      <c r="D5767" s="3">
        <v>-1.1919004</v>
      </c>
      <c r="E5767" s="1">
        <v>0.15521629000000001</v>
      </c>
      <c r="F5767" s="2">
        <v>0.43309635000000002</v>
      </c>
    </row>
    <row r="5768" spans="1:6" x14ac:dyDescent="0.25">
      <c r="A5768" t="s">
        <v>6</v>
      </c>
      <c r="B5768" s="5" t="str">
        <f>HYPERLINK("http://www.broadinstitute.org/gsea/msigdb/cards/GOBP_REGULATION_OF_GENERATION_OF_PRECURSOR_METABOLITES_AND_ENERGY.html","GOBP_REGULATION_OF_GENERATION_OF_PRECURSOR_METABOLITES_AND_ENERGY")</f>
        <v>GOBP_REGULATION_OF_GENERATION_OF_PRECURSOR_METABOLITES_AND_ENERGY</v>
      </c>
      <c r="C5768" s="4">
        <v>151</v>
      </c>
      <c r="D5768" s="3">
        <v>-1.1920877999999999</v>
      </c>
      <c r="E5768" s="1">
        <v>7.4433655000000001E-2</v>
      </c>
      <c r="F5768" s="2">
        <v>0.43316078000000002</v>
      </c>
    </row>
    <row r="5769" spans="1:6" x14ac:dyDescent="0.25">
      <c r="A5769" t="s">
        <v>6</v>
      </c>
      <c r="B5769" s="5" t="str">
        <f>HYPERLINK("http://www.broadinstitute.org/gsea/msigdb/cards/GOBP_P_BODY_ASSEMBLY.html","GOBP_P_BODY_ASSEMBLY")</f>
        <v>GOBP_P_BODY_ASSEMBLY</v>
      </c>
      <c r="C5769" s="4">
        <v>20</v>
      </c>
      <c r="D5769" s="3">
        <v>-1.1925171999999999</v>
      </c>
      <c r="E5769" s="1">
        <v>0.2309417</v>
      </c>
      <c r="F5769" s="2">
        <v>0.43270199999999998</v>
      </c>
    </row>
    <row r="5770" spans="1:6" x14ac:dyDescent="0.25">
      <c r="A5770" t="s">
        <v>10</v>
      </c>
      <c r="B5770" s="5" t="str">
        <f>HYPERLINK("http://www.broadinstitute.org/gsea/msigdb/cards/REACTOME_CELL_CYCLE_CHECKPOINTS.html","REACTOME_CELL_CYCLE_CHECKPOINTS")</f>
        <v>REACTOME_CELL_CYCLE_CHECKPOINTS</v>
      </c>
      <c r="C5770" s="4">
        <v>278</v>
      </c>
      <c r="D5770" s="3">
        <v>-1.1931480000000001</v>
      </c>
      <c r="E5770" s="1">
        <v>4.8979590000000003E-2</v>
      </c>
      <c r="F5770" s="2">
        <v>0.43169724999999998</v>
      </c>
    </row>
    <row r="5771" spans="1:6" x14ac:dyDescent="0.25">
      <c r="A5771" t="s">
        <v>6</v>
      </c>
      <c r="B5771" s="5" t="str">
        <f>HYPERLINK("http://www.broadinstitute.org/gsea/msigdb/cards/GOBP_POST_EMBRYONIC_DEVELOPMENT.html","GOBP_POST_EMBRYONIC_DEVELOPMENT")</f>
        <v>GOBP_POST_EMBRYONIC_DEVELOPMENT</v>
      </c>
      <c r="C5771" s="4">
        <v>122</v>
      </c>
      <c r="D5771" s="3">
        <v>-1.1933037</v>
      </c>
      <c r="E5771" s="1">
        <v>0.110447764</v>
      </c>
      <c r="F5771" s="2">
        <v>0.43183985000000003</v>
      </c>
    </row>
    <row r="5772" spans="1:6" x14ac:dyDescent="0.25">
      <c r="A5772" t="s">
        <v>6</v>
      </c>
      <c r="B5772" s="5" t="str">
        <f>HYPERLINK("http://www.broadinstitute.org/gsea/msigdb/cards/GOBP_REGULATION_OF_KERATINOCYTE_DIFFERENTIATION.html","GOBP_REGULATION_OF_KERATINOCYTE_DIFFERENTIATION")</f>
        <v>GOBP_REGULATION_OF_KERATINOCYTE_DIFFERENTIATION</v>
      </c>
      <c r="C5772" s="4">
        <v>33</v>
      </c>
      <c r="D5772" s="3">
        <v>-1.1944531</v>
      </c>
      <c r="E5772" s="1">
        <v>0.17277487</v>
      </c>
      <c r="F5772" s="2">
        <v>0.42970293999999998</v>
      </c>
    </row>
    <row r="5773" spans="1:6" x14ac:dyDescent="0.25">
      <c r="A5773" t="s">
        <v>10</v>
      </c>
      <c r="B5773" s="5" t="str">
        <f>HYPERLINK("http://www.broadinstitute.org/gsea/msigdb/cards/REACTOME_ANCHORING_OF_THE_BASAL_BODY_TO_THE_PLASMA_MEMBRANE.html","REACTOME_ANCHORING_OF_THE_BASAL_BODY_TO_THE_PLASMA_MEMBRANE")</f>
        <v>REACTOME_ANCHORING_OF_THE_BASAL_BODY_TO_THE_PLASMA_MEMBRANE</v>
      </c>
      <c r="C5773" s="4">
        <v>94</v>
      </c>
      <c r="D5773" s="3">
        <v>-1.1944847999999999</v>
      </c>
      <c r="E5773" s="1">
        <v>0.125</v>
      </c>
      <c r="F5773" s="2">
        <v>0.43012990000000001</v>
      </c>
    </row>
    <row r="5774" spans="1:6" x14ac:dyDescent="0.25">
      <c r="A5774" t="s">
        <v>10</v>
      </c>
      <c r="B5774" s="5" t="str">
        <f>HYPERLINK("http://www.broadinstitute.org/gsea/msigdb/cards/REACTOME_G2_M_DNA_DAMAGE_CHECKPOINT.html","REACTOME_G2_M_DNA_DAMAGE_CHECKPOINT")</f>
        <v>REACTOME_G2_M_DNA_DAMAGE_CHECKPOINT</v>
      </c>
      <c r="C5774" s="4">
        <v>86</v>
      </c>
      <c r="D5774" s="3">
        <v>-1.1953099</v>
      </c>
      <c r="E5774" s="1">
        <v>0.11504425</v>
      </c>
      <c r="F5774" s="2">
        <v>0.42869796999999998</v>
      </c>
    </row>
    <row r="5775" spans="1:6" x14ac:dyDescent="0.25">
      <c r="A5775" t="s">
        <v>6</v>
      </c>
      <c r="B5775" s="5" t="str">
        <f>HYPERLINK("http://www.broadinstitute.org/gsea/msigdb/cards/GOBP_INHIBITORY_SYNAPSE_ASSEMBLY.html","GOBP_INHIBITORY_SYNAPSE_ASSEMBLY")</f>
        <v>GOBP_INHIBITORY_SYNAPSE_ASSEMBLY</v>
      </c>
      <c r="C5775" s="4">
        <v>19</v>
      </c>
      <c r="D5775" s="3">
        <v>-1.1960649999999999</v>
      </c>
      <c r="E5775" s="1">
        <v>0.21975309000000001</v>
      </c>
      <c r="F5775" s="2">
        <v>0.42756894000000001</v>
      </c>
    </row>
    <row r="5776" spans="1:6" x14ac:dyDescent="0.25">
      <c r="A5776" t="s">
        <v>7</v>
      </c>
      <c r="B5776" s="5" t="str">
        <f>HYPERLINK("http://www.broadinstitute.org/gsea/msigdb/cards/GOCC_INTERMEDIATE_FILAMENT.html","GOCC_INTERMEDIATE_FILAMENT")</f>
        <v>GOCC_INTERMEDIATE_FILAMENT</v>
      </c>
      <c r="C5776" s="4">
        <v>135</v>
      </c>
      <c r="D5776" s="3">
        <v>-1.1964203</v>
      </c>
      <c r="E5776" s="1">
        <v>0.1</v>
      </c>
      <c r="F5776" s="2">
        <v>0.42726579999999997</v>
      </c>
    </row>
    <row r="5777" spans="1:6" x14ac:dyDescent="0.25">
      <c r="A5777" t="s">
        <v>6</v>
      </c>
      <c r="B5777" s="5" t="str">
        <f>HYPERLINK("http://www.broadinstitute.org/gsea/msigdb/cards/GOBP_PHOTORECEPTOR_CELL_OUTER_SEGMENT_ORGANIZATION.html","GOBP_PHOTORECEPTOR_CELL_OUTER_SEGMENT_ORGANIZATION")</f>
        <v>GOBP_PHOTORECEPTOR_CELL_OUTER_SEGMENT_ORGANIZATION</v>
      </c>
      <c r="C5777" s="4">
        <v>15</v>
      </c>
      <c r="D5777" s="3">
        <v>-1.1967095000000001</v>
      </c>
      <c r="E5777" s="1">
        <v>0.23459716</v>
      </c>
      <c r="F5777" s="2">
        <v>0.42715245000000002</v>
      </c>
    </row>
    <row r="5778" spans="1:6" x14ac:dyDescent="0.25">
      <c r="A5778" t="s">
        <v>6</v>
      </c>
      <c r="B5778" s="5" t="str">
        <f>HYPERLINK("http://www.broadinstitute.org/gsea/msigdb/cards/GOBP_CHROMOSOME_CONDENSATION.html","GOBP_CHROMOSOME_CONDENSATION")</f>
        <v>GOBP_CHROMOSOME_CONDENSATION</v>
      </c>
      <c r="C5778" s="4">
        <v>43</v>
      </c>
      <c r="D5778" s="3">
        <v>-1.1979895</v>
      </c>
      <c r="E5778" s="1">
        <v>0.17249999999999999</v>
      </c>
      <c r="F5778" s="2">
        <v>0.42465310000000001</v>
      </c>
    </row>
    <row r="5779" spans="1:6" x14ac:dyDescent="0.25">
      <c r="A5779" t="s">
        <v>6</v>
      </c>
      <c r="B5779" s="5" t="str">
        <f>HYPERLINK("http://www.broadinstitute.org/gsea/msigdb/cards/GOBP_REGULATION_OF_CARTILAGE_DEVELOPMENT.html","GOBP_REGULATION_OF_CARTILAGE_DEVELOPMENT")</f>
        <v>GOBP_REGULATION_OF_CARTILAGE_DEVELOPMENT</v>
      </c>
      <c r="C5779" s="4">
        <v>71</v>
      </c>
      <c r="D5779" s="3">
        <v>-1.1980287999999999</v>
      </c>
      <c r="E5779" s="1">
        <v>0.14555256</v>
      </c>
      <c r="F5779" s="2">
        <v>0.42506500000000003</v>
      </c>
    </row>
    <row r="5780" spans="1:6" x14ac:dyDescent="0.25">
      <c r="A5780" t="s">
        <v>6</v>
      </c>
      <c r="B5780" s="5" t="str">
        <f>HYPERLINK("http://www.broadinstitute.org/gsea/msigdb/cards/GOBP_GANGLION_DEVELOPMENT.html","GOBP_GANGLION_DEVELOPMENT")</f>
        <v>GOBP_GANGLION_DEVELOPMENT</v>
      </c>
      <c r="C5780" s="4">
        <v>16</v>
      </c>
      <c r="D5780" s="3">
        <v>-1.1985764999999999</v>
      </c>
      <c r="E5780" s="1">
        <v>0.21411764999999999</v>
      </c>
      <c r="F5780" s="2">
        <v>0.42429699999999998</v>
      </c>
    </row>
    <row r="5781" spans="1:6" x14ac:dyDescent="0.25">
      <c r="A5781" t="s">
        <v>7</v>
      </c>
      <c r="B5781" s="5" t="str">
        <f>HYPERLINK("http://www.broadinstitute.org/gsea/msigdb/cards/GOCC_SERINE_THREONINE_PROTEIN_KINASE_COMPLEX.html","GOCC_SERINE_THREONINE_PROTEIN_KINASE_COMPLEX")</f>
        <v>GOCC_SERINE_THREONINE_PROTEIN_KINASE_COMPLEX</v>
      </c>
      <c r="C5781" s="4">
        <v>120</v>
      </c>
      <c r="D5781" s="3">
        <v>-1.1990831</v>
      </c>
      <c r="E5781" s="1">
        <v>0.12063492000000001</v>
      </c>
      <c r="F5781" s="2">
        <v>0.42362147999999999</v>
      </c>
    </row>
    <row r="5782" spans="1:6" x14ac:dyDescent="0.25">
      <c r="A5782" t="s">
        <v>6</v>
      </c>
      <c r="B5782" s="5" t="str">
        <f>HYPERLINK("http://www.broadinstitute.org/gsea/msigdb/cards/GOBP_REGULATION_OF_GENE_SILENCING_BY_REGULATORY_NCRNA.html","GOBP_REGULATION_OF_GENE_SILENCING_BY_REGULATORY_NCRNA")</f>
        <v>GOBP_REGULATION_OF_GENE_SILENCING_BY_REGULATORY_NCRNA</v>
      </c>
      <c r="C5782" s="4">
        <v>34</v>
      </c>
      <c r="D5782" s="3">
        <v>-1.1993594000000001</v>
      </c>
      <c r="E5782" s="1">
        <v>0.20499999999999999</v>
      </c>
      <c r="F5782" s="2">
        <v>0.42348131999999999</v>
      </c>
    </row>
    <row r="5783" spans="1:6" x14ac:dyDescent="0.25">
      <c r="A5783" t="s">
        <v>6</v>
      </c>
      <c r="B5783" s="5" t="str">
        <f>HYPERLINK("http://www.broadinstitute.org/gsea/msigdb/cards/GOBP_RENAL_TUBULE_MORPHOGENESIS.html","GOBP_RENAL_TUBULE_MORPHOGENESIS")</f>
        <v>GOBP_RENAL_TUBULE_MORPHOGENESIS</v>
      </c>
      <c r="C5783" s="4">
        <v>90</v>
      </c>
      <c r="D5783" s="3">
        <v>-1.2002507</v>
      </c>
      <c r="E5783" s="1">
        <v>0.14477211000000001</v>
      </c>
      <c r="F5783" s="2">
        <v>0.42195189999999999</v>
      </c>
    </row>
    <row r="5784" spans="1:6" x14ac:dyDescent="0.25">
      <c r="A5784" t="s">
        <v>8</v>
      </c>
      <c r="B5784" s="5" t="str">
        <f>HYPERLINK("http://www.broadinstitute.org/gsea/msigdb/cards/GOMF_HISTONE_DEACETYLASE_BINDING.html","GOMF_HISTONE_DEACETYLASE_BINDING")</f>
        <v>GOMF_HISTONE_DEACETYLASE_BINDING</v>
      </c>
      <c r="C5784" s="4">
        <v>130</v>
      </c>
      <c r="D5784" s="3">
        <v>-1.2003353000000001</v>
      </c>
      <c r="E5784" s="1">
        <v>0.114285715</v>
      </c>
      <c r="F5784" s="2">
        <v>0.42224119999999998</v>
      </c>
    </row>
    <row r="5785" spans="1:6" x14ac:dyDescent="0.25">
      <c r="A5785" t="s">
        <v>6</v>
      </c>
      <c r="B5785" s="5" t="str">
        <f>HYPERLINK("http://www.broadinstitute.org/gsea/msigdb/cards/GOBP_POSITIVE_REGULATION_OF_CELL_CYCLE_G2_M_PHASE_TRANSITION.html","GOBP_POSITIVE_REGULATION_OF_CELL_CYCLE_G2_M_PHASE_TRANSITION")</f>
        <v>GOBP_POSITIVE_REGULATION_OF_CELL_CYCLE_G2_M_PHASE_TRANSITION</v>
      </c>
      <c r="C5785" s="4">
        <v>32</v>
      </c>
      <c r="D5785" s="3">
        <v>-1.2004490999999999</v>
      </c>
      <c r="E5785" s="1">
        <v>0.1813602</v>
      </c>
      <c r="F5785" s="2">
        <v>0.42250773000000003</v>
      </c>
    </row>
    <row r="5786" spans="1:6" x14ac:dyDescent="0.25">
      <c r="A5786" t="s">
        <v>6</v>
      </c>
      <c r="B5786" s="5" t="str">
        <f>HYPERLINK("http://www.broadinstitute.org/gsea/msigdb/cards/GOBP_MOTOR_NEURON_AXON_GUIDANCE.html","GOBP_MOTOR_NEURON_AXON_GUIDANCE")</f>
        <v>GOBP_MOTOR_NEURON_AXON_GUIDANCE</v>
      </c>
      <c r="C5786" s="4">
        <v>34</v>
      </c>
      <c r="D5786" s="3">
        <v>-1.2021393</v>
      </c>
      <c r="E5786" s="1">
        <v>0.1952381</v>
      </c>
      <c r="F5786" s="2">
        <v>0.41924792999999999</v>
      </c>
    </row>
    <row r="5787" spans="1:6" x14ac:dyDescent="0.25">
      <c r="A5787" t="s">
        <v>6</v>
      </c>
      <c r="B5787" s="5" t="str">
        <f>HYPERLINK("http://www.broadinstitute.org/gsea/msigdb/cards/GOBP_EMBRYONIC_DIGESTIVE_TRACT_DEVELOPMENT.html","GOBP_EMBRYONIC_DIGESTIVE_TRACT_DEVELOPMENT")</f>
        <v>GOBP_EMBRYONIC_DIGESTIVE_TRACT_DEVELOPMENT</v>
      </c>
      <c r="C5787" s="4">
        <v>33</v>
      </c>
      <c r="D5787" s="3">
        <v>-1.2025664</v>
      </c>
      <c r="E5787" s="1">
        <v>0.19402985</v>
      </c>
      <c r="F5787" s="2">
        <v>0.41883203000000002</v>
      </c>
    </row>
    <row r="5788" spans="1:6" x14ac:dyDescent="0.25">
      <c r="A5788" t="s">
        <v>6</v>
      </c>
      <c r="B5788" s="5" t="str">
        <f>HYPERLINK("http://www.broadinstitute.org/gsea/msigdb/cards/GOBP_MEIOTIC_CHROMOSOME_SEGREGATION.html","GOBP_MEIOTIC_CHROMOSOME_SEGREGATION")</f>
        <v>GOBP_MEIOTIC_CHROMOSOME_SEGREGATION</v>
      </c>
      <c r="C5788" s="4">
        <v>98</v>
      </c>
      <c r="D5788" s="3">
        <v>-1.2034286999999999</v>
      </c>
      <c r="E5788" s="1">
        <v>0.13081396000000001</v>
      </c>
      <c r="F5788" s="2">
        <v>0.41735253</v>
      </c>
    </row>
    <row r="5789" spans="1:6" x14ac:dyDescent="0.25">
      <c r="A5789" t="s">
        <v>10</v>
      </c>
      <c r="B5789" s="5" t="str">
        <f>HYPERLINK("http://www.broadinstitute.org/gsea/msigdb/cards/REACTOME_BETA_CATENIN_INDEPENDENT_WNT_SIGNALING.html","REACTOME_BETA_CATENIN_INDEPENDENT_WNT_SIGNALING")</f>
        <v>REACTOME_BETA_CATENIN_INDEPENDENT_WNT_SIGNALING</v>
      </c>
      <c r="C5789" s="4">
        <v>123</v>
      </c>
      <c r="D5789" s="3">
        <v>-1.2043827</v>
      </c>
      <c r="E5789" s="1">
        <v>9.7058825000000001E-2</v>
      </c>
      <c r="F5789" s="2">
        <v>0.41574814999999998</v>
      </c>
    </row>
    <row r="5790" spans="1:6" x14ac:dyDescent="0.25">
      <c r="A5790" t="s">
        <v>7</v>
      </c>
      <c r="B5790" s="5" t="str">
        <f>HYPERLINK("http://www.broadinstitute.org/gsea/msigdb/cards/GOCC_GUANYL_NUCLEOTIDE_EXCHANGE_FACTOR_COMPLEX.html","GOCC_GUANYL_NUCLEOTIDE_EXCHANGE_FACTOR_COMPLEX")</f>
        <v>GOCC_GUANYL_NUCLEOTIDE_EXCHANGE_FACTOR_COMPLEX</v>
      </c>
      <c r="C5790" s="4">
        <v>19</v>
      </c>
      <c r="D5790" s="3">
        <v>-1.2048489</v>
      </c>
      <c r="E5790" s="1">
        <v>0.22149123000000001</v>
      </c>
      <c r="F5790" s="2">
        <v>0.41517976000000001</v>
      </c>
    </row>
    <row r="5791" spans="1:6" x14ac:dyDescent="0.25">
      <c r="A5791" t="s">
        <v>8</v>
      </c>
      <c r="B5791" s="5" t="str">
        <f>HYPERLINK("http://www.broadinstitute.org/gsea/msigdb/cards/GOMF_SMALL_MOLECULE_SENSOR_ACTIVITY.html","GOMF_SMALL_MOLECULE_SENSOR_ACTIVITY")</f>
        <v>GOMF_SMALL_MOLECULE_SENSOR_ACTIVITY</v>
      </c>
      <c r="C5791" s="4">
        <v>31</v>
      </c>
      <c r="D5791" s="3">
        <v>-1.2048926</v>
      </c>
      <c r="E5791" s="1">
        <v>0.16708861</v>
      </c>
      <c r="F5791" s="2">
        <v>0.41557798000000001</v>
      </c>
    </row>
    <row r="5792" spans="1:6" x14ac:dyDescent="0.25">
      <c r="A5792" t="s">
        <v>10</v>
      </c>
      <c r="B5792" s="5" t="str">
        <f>HYPERLINK("http://www.broadinstitute.org/gsea/msigdb/cards/REACTOME_SUMOYLATION.html","REACTOME_SUMOYLATION")</f>
        <v>REACTOME_SUMOYLATION</v>
      </c>
      <c r="C5792" s="4">
        <v>165</v>
      </c>
      <c r="D5792" s="3">
        <v>-1.2049098</v>
      </c>
      <c r="E5792" s="1">
        <v>6.8027210000000005E-2</v>
      </c>
      <c r="F5792" s="2">
        <v>0.4160392</v>
      </c>
    </row>
    <row r="5793" spans="1:6" x14ac:dyDescent="0.25">
      <c r="A5793" t="s">
        <v>6</v>
      </c>
      <c r="B5793" s="5" t="str">
        <f>HYPERLINK("http://www.broadinstitute.org/gsea/msigdb/cards/GOBP_NEUROMUSCULAR_PROCESS.html","GOBP_NEUROMUSCULAR_PROCESS")</f>
        <v>GOBP_NEUROMUSCULAR_PROCESS</v>
      </c>
      <c r="C5793" s="4">
        <v>202</v>
      </c>
      <c r="D5793" s="3">
        <v>-1.2054518000000001</v>
      </c>
      <c r="E5793" s="1">
        <v>6.3333329999999993E-2</v>
      </c>
      <c r="F5793" s="2">
        <v>0.41528815000000002</v>
      </c>
    </row>
    <row r="5794" spans="1:6" x14ac:dyDescent="0.25">
      <c r="A5794" t="s">
        <v>8</v>
      </c>
      <c r="B5794" s="5" t="str">
        <f>HYPERLINK("http://www.broadinstitute.org/gsea/msigdb/cards/GOMF_E_BOX_BINDING.html","GOMF_E_BOX_BINDING")</f>
        <v>GOMF_E_BOX_BINDING</v>
      </c>
      <c r="C5794" s="4">
        <v>55</v>
      </c>
      <c r="D5794" s="3">
        <v>-1.2063617</v>
      </c>
      <c r="E5794" s="1">
        <v>0.15601023</v>
      </c>
      <c r="F5794" s="2">
        <v>0.41373536</v>
      </c>
    </row>
    <row r="5795" spans="1:6" x14ac:dyDescent="0.25">
      <c r="A5795" t="s">
        <v>8</v>
      </c>
      <c r="B5795" s="5" t="str">
        <f>HYPERLINK("http://www.broadinstitute.org/gsea/msigdb/cards/GOMF_RRNA_METHYLTRANSFERASE_ACTIVITY.html","GOMF_RRNA_METHYLTRANSFERASE_ACTIVITY")</f>
        <v>GOMF_RRNA_METHYLTRANSFERASE_ACTIVITY</v>
      </c>
      <c r="C5795" s="4">
        <v>19</v>
      </c>
      <c r="D5795" s="3">
        <v>-1.2065303000000001</v>
      </c>
      <c r="E5795" s="1">
        <v>0.2175926</v>
      </c>
      <c r="F5795" s="2">
        <v>0.41384587</v>
      </c>
    </row>
    <row r="5796" spans="1:6" x14ac:dyDescent="0.25">
      <c r="A5796" t="s">
        <v>7</v>
      </c>
      <c r="B5796" s="5" t="str">
        <f>HYPERLINK("http://www.broadinstitute.org/gsea/msigdb/cards/GOCC_AXONAL_GROWTH_CONE.html","GOCC_AXONAL_GROWTH_CONE")</f>
        <v>GOCC_AXONAL_GROWTH_CONE</v>
      </c>
      <c r="C5796" s="4">
        <v>48</v>
      </c>
      <c r="D5796" s="3">
        <v>-1.2067445999999999</v>
      </c>
      <c r="E5796" s="1">
        <v>0.16208792</v>
      </c>
      <c r="F5796" s="2">
        <v>0.41390017000000001</v>
      </c>
    </row>
    <row r="5797" spans="1:6" x14ac:dyDescent="0.25">
      <c r="A5797" t="s">
        <v>7</v>
      </c>
      <c r="B5797" s="5" t="str">
        <f>HYPERLINK("http://www.broadinstitute.org/gsea/msigdb/cards/GOCC_MRNA_CLEAVAGE_AND_POLYADENYLATION_SPECIFICITY_FACTOR_COMPLEX.html","GOCC_MRNA_CLEAVAGE_AND_POLYADENYLATION_SPECIFICITY_FACTOR_COMPLEX")</f>
        <v>GOCC_MRNA_CLEAVAGE_AND_POLYADENYLATION_SPECIFICITY_FACTOR_COMPLEX</v>
      </c>
      <c r="C5797" s="4">
        <v>19</v>
      </c>
      <c r="D5797" s="3">
        <v>-1.2069384000000001</v>
      </c>
      <c r="E5797" s="1">
        <v>0.19333333</v>
      </c>
      <c r="F5797" s="2">
        <v>0.41394379999999997</v>
      </c>
    </row>
    <row r="5798" spans="1:6" x14ac:dyDescent="0.25">
      <c r="A5798" t="s">
        <v>8</v>
      </c>
      <c r="B5798" s="5" t="str">
        <f>HYPERLINK("http://www.broadinstitute.org/gsea/msigdb/cards/GOMF_DNA_POLYMERASE_ACTIVITY.html","GOMF_DNA_POLYMERASE_ACTIVITY")</f>
        <v>GOMF_DNA_POLYMERASE_ACTIVITY</v>
      </c>
      <c r="C5798" s="4">
        <v>29</v>
      </c>
      <c r="D5798" s="3">
        <v>-1.2070291</v>
      </c>
      <c r="E5798" s="1">
        <v>0.16625917000000001</v>
      </c>
      <c r="F5798" s="2">
        <v>0.41424093000000001</v>
      </c>
    </row>
    <row r="5799" spans="1:6" x14ac:dyDescent="0.25">
      <c r="A5799" t="s">
        <v>7</v>
      </c>
      <c r="B5799" s="5" t="str">
        <f>HYPERLINK("http://www.broadinstitute.org/gsea/msigdb/cards/GOCC_PROTEASOME_CORE_COMPLEX.html","GOCC_PROTEASOME_CORE_COMPLEX")</f>
        <v>GOCC_PROTEASOME_CORE_COMPLEX</v>
      </c>
      <c r="C5799" s="4">
        <v>19</v>
      </c>
      <c r="D5799" s="3">
        <v>-1.2071693999999999</v>
      </c>
      <c r="E5799" s="1">
        <v>0.19950124999999999</v>
      </c>
      <c r="F5799" s="2">
        <v>0.41442605999999999</v>
      </c>
    </row>
    <row r="5800" spans="1:6" x14ac:dyDescent="0.25">
      <c r="A5800" t="s">
        <v>11</v>
      </c>
      <c r="B5800" s="5" t="str">
        <f>HYPERLINK("http://www.broadinstitute.org/gsea/msigdb/cards/WP_EUKARYOTIC_TRANSCRIPTION_INITIATION.html","WP_EUKARYOTIC_TRANSCRIPTION_INITIATION")</f>
        <v>WP_EUKARYOTIC_TRANSCRIPTION_INITIATION</v>
      </c>
      <c r="C5800" s="4">
        <v>40</v>
      </c>
      <c r="D5800" s="3">
        <v>-1.2074050999999999</v>
      </c>
      <c r="E5800" s="1">
        <v>0.15686275</v>
      </c>
      <c r="F5800" s="2">
        <v>0.41441013999999998</v>
      </c>
    </row>
    <row r="5801" spans="1:6" x14ac:dyDescent="0.25">
      <c r="A5801" t="s">
        <v>6</v>
      </c>
      <c r="B5801" s="5" t="str">
        <f>HYPERLINK("http://www.broadinstitute.org/gsea/msigdb/cards/GOBP_NEGATIVE_REGULATION_OF_TRANSCRIPTION_ELONGATION_BY_RNA_POLYMERASE_II.html","GOBP_NEGATIVE_REGULATION_OF_TRANSCRIPTION_ELONGATION_BY_RNA_POLYMERASE_II")</f>
        <v>GOBP_NEGATIVE_REGULATION_OF_TRANSCRIPTION_ELONGATION_BY_RNA_POLYMERASE_II</v>
      </c>
      <c r="C5801" s="4">
        <v>15</v>
      </c>
      <c r="D5801" s="3">
        <v>-1.2074142000000001</v>
      </c>
      <c r="E5801" s="1">
        <v>0.19047620000000001</v>
      </c>
      <c r="F5801" s="2">
        <v>0.41488972000000002</v>
      </c>
    </row>
    <row r="5802" spans="1:6" x14ac:dyDescent="0.25">
      <c r="A5802" t="s">
        <v>7</v>
      </c>
      <c r="B5802" s="5" t="str">
        <f>HYPERLINK("http://www.broadinstitute.org/gsea/msigdb/cards/GOCC_P_BODY.html","GOCC_P_BODY")</f>
        <v>GOCC_P_BODY</v>
      </c>
      <c r="C5802" s="4">
        <v>88</v>
      </c>
      <c r="D5802" s="3">
        <v>-1.2081586</v>
      </c>
      <c r="E5802" s="1">
        <v>0.12820514</v>
      </c>
      <c r="F5802" s="2">
        <v>0.41369065999999999</v>
      </c>
    </row>
    <row r="5803" spans="1:6" x14ac:dyDescent="0.25">
      <c r="A5803" t="s">
        <v>6</v>
      </c>
      <c r="B5803" s="5" t="str">
        <f>HYPERLINK("http://www.broadinstitute.org/gsea/msigdb/cards/GOBP_NEGATIVE_REGULATION_OF_DNA_BINDING.html","GOBP_NEGATIVE_REGULATION_OF_DNA_BINDING")</f>
        <v>GOBP_NEGATIVE_REGULATION_OF_DNA_BINDING</v>
      </c>
      <c r="C5803" s="4">
        <v>49</v>
      </c>
      <c r="D5803" s="3">
        <v>-1.2083303000000001</v>
      </c>
      <c r="E5803" s="1">
        <v>0.16216215</v>
      </c>
      <c r="F5803" s="2">
        <v>0.41377920000000001</v>
      </c>
    </row>
    <row r="5804" spans="1:6" x14ac:dyDescent="0.25">
      <c r="A5804" t="s">
        <v>7</v>
      </c>
      <c r="B5804" s="5" t="str">
        <f>HYPERLINK("http://www.broadinstitute.org/gsea/msigdb/cards/GOCC_POSTSYNAPTIC_DENSITY_MEMBRANE.html","GOCC_POSTSYNAPTIC_DENSITY_MEMBRANE")</f>
        <v>GOCC_POSTSYNAPTIC_DENSITY_MEMBRANE</v>
      </c>
      <c r="C5804" s="4">
        <v>114</v>
      </c>
      <c r="D5804" s="3">
        <v>-1.2097886</v>
      </c>
      <c r="E5804" s="1">
        <v>9.8214280000000001E-2</v>
      </c>
      <c r="F5804" s="2">
        <v>0.41084315999999999</v>
      </c>
    </row>
    <row r="5805" spans="1:6" x14ac:dyDescent="0.25">
      <c r="A5805" t="s">
        <v>7</v>
      </c>
      <c r="B5805" s="5" t="str">
        <f>HYPERLINK("http://www.broadinstitute.org/gsea/msigdb/cards/GOCC_PARANODE_REGION_OF_AXON.html","GOCC_PARANODE_REGION_OF_AXON")</f>
        <v>GOCC_PARANODE_REGION_OF_AXON</v>
      </c>
      <c r="C5805" s="4">
        <v>16</v>
      </c>
      <c r="D5805" s="3">
        <v>-1.2101588000000001</v>
      </c>
      <c r="E5805" s="1">
        <v>0.18421051999999999</v>
      </c>
      <c r="F5805" s="2">
        <v>0.41051346</v>
      </c>
    </row>
    <row r="5806" spans="1:6" x14ac:dyDescent="0.25">
      <c r="A5806" t="s">
        <v>6</v>
      </c>
      <c r="B5806" s="5" t="str">
        <f>HYPERLINK("http://www.broadinstitute.org/gsea/msigdb/cards/GOBP_PROTEIN_LOCALIZATION_TO_CELL_JUNCTION.html","GOBP_PROTEIN_LOCALIZATION_TO_CELL_JUNCTION")</f>
        <v>GOBP_PROTEIN_LOCALIZATION_TO_CELL_JUNCTION</v>
      </c>
      <c r="C5806" s="4">
        <v>133</v>
      </c>
      <c r="D5806" s="3">
        <v>-1.2105644</v>
      </c>
      <c r="E5806" s="1">
        <v>9.2063493999999996E-2</v>
      </c>
      <c r="F5806" s="2">
        <v>0.41009099999999998</v>
      </c>
    </row>
    <row r="5807" spans="1:6" x14ac:dyDescent="0.25">
      <c r="A5807" t="s">
        <v>10</v>
      </c>
      <c r="B5807" s="5" t="str">
        <f>HYPERLINK("http://www.broadinstitute.org/gsea/msigdb/cards/REACTOME_AURKA_ACTIVATION_BY_TPX2.html","REACTOME_AURKA_ACTIVATION_BY_TPX2")</f>
        <v>REACTOME_AURKA_ACTIVATION_BY_TPX2</v>
      </c>
      <c r="C5807" s="4">
        <v>70</v>
      </c>
      <c r="D5807" s="3">
        <v>-1.2121272999999999</v>
      </c>
      <c r="E5807" s="1">
        <v>0.12536443999999999</v>
      </c>
      <c r="F5807" s="2">
        <v>0.40711071999999998</v>
      </c>
    </row>
    <row r="5808" spans="1:6" x14ac:dyDescent="0.25">
      <c r="A5808" t="s">
        <v>7</v>
      </c>
      <c r="B5808" s="5" t="str">
        <f>HYPERLINK("http://www.broadinstitute.org/gsea/msigdb/cards/GOCC_CHROMOSOME_TELOMERIC_REGION.html","GOCC_CHROMOSOME_TELOMERIC_REGION")</f>
        <v>GOCC_CHROMOSOME_TELOMERIC_REGION</v>
      </c>
      <c r="C5808" s="4">
        <v>117</v>
      </c>
      <c r="D5808" s="3">
        <v>-1.2133276</v>
      </c>
      <c r="E5808" s="1">
        <v>0.11627907</v>
      </c>
      <c r="F5808" s="2">
        <v>0.40501037000000001</v>
      </c>
    </row>
    <row r="5809" spans="1:6" x14ac:dyDescent="0.25">
      <c r="A5809" t="s">
        <v>6</v>
      </c>
      <c r="B5809" s="5" t="str">
        <f>HYPERLINK("http://www.broadinstitute.org/gsea/msigdb/cards/GOBP_OSTEOBLAST_DEVELOPMENT.html","GOBP_OSTEOBLAST_DEVELOPMENT")</f>
        <v>GOBP_OSTEOBLAST_DEVELOPMENT</v>
      </c>
      <c r="C5809" s="4">
        <v>18</v>
      </c>
      <c r="D5809" s="3">
        <v>-1.2133624999999999</v>
      </c>
      <c r="E5809" s="1">
        <v>0.20096852000000001</v>
      </c>
      <c r="F5809" s="2">
        <v>0.40541856999999998</v>
      </c>
    </row>
    <row r="5810" spans="1:6" x14ac:dyDescent="0.25">
      <c r="A5810" t="s">
        <v>11</v>
      </c>
      <c r="B5810" s="5" t="str">
        <f>HYPERLINK("http://www.broadinstitute.org/gsea/msigdb/cards/WP_SPLICING_FACTOR_NOVA_REGULATED_SYNAPTIC_PROTEINS.html","WP_SPLICING_FACTOR_NOVA_REGULATED_SYNAPTIC_PROTEINS")</f>
        <v>WP_SPLICING_FACTOR_NOVA_REGULATED_SYNAPTIC_PROTEINS</v>
      </c>
      <c r="C5810" s="4">
        <v>42</v>
      </c>
      <c r="D5810" s="3">
        <v>-1.2143717999999999</v>
      </c>
      <c r="E5810" s="1">
        <v>0.16748768</v>
      </c>
      <c r="F5810" s="2">
        <v>0.40365427999999998</v>
      </c>
    </row>
    <row r="5811" spans="1:6" x14ac:dyDescent="0.25">
      <c r="A5811" t="s">
        <v>6</v>
      </c>
      <c r="B5811" s="5" t="str">
        <f>HYPERLINK("http://www.broadinstitute.org/gsea/msigdb/cards/GOBP_UTERUS_DEVELOPMENT.html","GOBP_UTERUS_DEVELOPMENT")</f>
        <v>GOBP_UTERUS_DEVELOPMENT</v>
      </c>
      <c r="C5811" s="4">
        <v>26</v>
      </c>
      <c r="D5811" s="3">
        <v>-1.2146980000000001</v>
      </c>
      <c r="E5811" s="1">
        <v>0.18939394000000001</v>
      </c>
      <c r="F5811" s="2">
        <v>0.40345302</v>
      </c>
    </row>
    <row r="5812" spans="1:6" x14ac:dyDescent="0.25">
      <c r="A5812" t="s">
        <v>6</v>
      </c>
      <c r="B5812" s="5" t="str">
        <f>HYPERLINK("http://www.broadinstitute.org/gsea/msigdb/cards/GOBP_PATTERN_SPECIFICATION_PROCESS.html","GOBP_PATTERN_SPECIFICATION_PROCESS")</f>
        <v>GOBP_PATTERN_SPECIFICATION_PROCESS</v>
      </c>
      <c r="C5812" s="4">
        <v>491</v>
      </c>
      <c r="D5812" s="3">
        <v>-1.215452</v>
      </c>
      <c r="E5812" s="1">
        <v>1.6949153000000002E-2</v>
      </c>
      <c r="F5812" s="2">
        <v>0.40222722</v>
      </c>
    </row>
    <row r="5813" spans="1:6" x14ac:dyDescent="0.25">
      <c r="A5813" t="s">
        <v>10</v>
      </c>
      <c r="B5813" s="5" t="str">
        <f>HYPERLINK("http://www.broadinstitute.org/gsea/msigdb/cards/REACTOME_CLEC7A_DECTIN_1_SIGNALING.html","REACTOME_CLEC7A_DECTIN_1_SIGNALING")</f>
        <v>REACTOME_CLEC7A_DECTIN_1_SIGNALING</v>
      </c>
      <c r="C5813" s="4">
        <v>92</v>
      </c>
      <c r="D5813" s="3">
        <v>-1.2155517</v>
      </c>
      <c r="E5813" s="1">
        <v>0.11898017</v>
      </c>
      <c r="F5813" s="2">
        <v>0.40251192000000002</v>
      </c>
    </row>
    <row r="5814" spans="1:6" x14ac:dyDescent="0.25">
      <c r="A5814" t="s">
        <v>10</v>
      </c>
      <c r="B5814" s="5" t="str">
        <f>HYPERLINK("http://www.broadinstitute.org/gsea/msigdb/cards/REACTOME_MITOPHAGY.html","REACTOME_MITOPHAGY")</f>
        <v>REACTOME_MITOPHAGY</v>
      </c>
      <c r="C5814" s="4">
        <v>29</v>
      </c>
      <c r="D5814" s="3">
        <v>-1.2159359999999999</v>
      </c>
      <c r="E5814" s="1">
        <v>0.17551963000000001</v>
      </c>
      <c r="F5814" s="2">
        <v>0.40212231999999998</v>
      </c>
    </row>
    <row r="5815" spans="1:6" x14ac:dyDescent="0.25">
      <c r="A5815" t="s">
        <v>6</v>
      </c>
      <c r="B5815" s="5" t="str">
        <f>HYPERLINK("http://www.broadinstitute.org/gsea/msigdb/cards/GOBP_NUCLEAR_TRANSCRIBED_MRNA_CATABOLIC_PROCESS.html","GOBP_NUCLEAR_TRANSCRIBED_MRNA_CATABOLIC_PROCESS")</f>
        <v>GOBP_NUCLEAR_TRANSCRIBED_MRNA_CATABOLIC_PROCESS</v>
      </c>
      <c r="C5815" s="4">
        <v>122</v>
      </c>
      <c r="D5815" s="3">
        <v>-1.2188474</v>
      </c>
      <c r="E5815" s="1">
        <v>8.1632650000000001E-2</v>
      </c>
      <c r="F5815" s="2">
        <v>0.39631813999999999</v>
      </c>
    </row>
    <row r="5816" spans="1:6" x14ac:dyDescent="0.25">
      <c r="A5816" t="s">
        <v>6</v>
      </c>
      <c r="B5816" s="5" t="str">
        <f>HYPERLINK("http://www.broadinstitute.org/gsea/msigdb/cards/GOBP_ADULT_BEHAVIOR.html","GOBP_ADULT_BEHAVIOR")</f>
        <v>GOBP_ADULT_BEHAVIOR</v>
      </c>
      <c r="C5816" s="4">
        <v>186</v>
      </c>
      <c r="D5816" s="3">
        <v>-1.2190076000000001</v>
      </c>
      <c r="E5816" s="1">
        <v>6.3973059999999998E-2</v>
      </c>
      <c r="F5816" s="2">
        <v>0.39646766</v>
      </c>
    </row>
    <row r="5817" spans="1:6" x14ac:dyDescent="0.25">
      <c r="A5817" t="s">
        <v>6</v>
      </c>
      <c r="B5817" s="5" t="str">
        <f>HYPERLINK("http://www.broadinstitute.org/gsea/msigdb/cards/GOBP_DETECTION_OF_CHEMICAL_STIMULUS_INVOLVED_IN_SENSORY_PERCEPTION_OF_SMELL.html","GOBP_DETECTION_OF_CHEMICAL_STIMULUS_INVOLVED_IN_SENSORY_PERCEPTION_OF_SMELL")</f>
        <v>GOBP_DETECTION_OF_CHEMICAL_STIMULUS_INVOLVED_IN_SENSORY_PERCEPTION_OF_SMELL</v>
      </c>
      <c r="C5817" s="4">
        <v>110</v>
      </c>
      <c r="D5817" s="3">
        <v>-1.2199420999999999</v>
      </c>
      <c r="E5817" s="1">
        <v>0.11141305</v>
      </c>
      <c r="F5817" s="2">
        <v>0.39501451999999998</v>
      </c>
    </row>
    <row r="5818" spans="1:6" x14ac:dyDescent="0.25">
      <c r="A5818" t="s">
        <v>10</v>
      </c>
      <c r="B5818" s="5" t="str">
        <f>HYPERLINK("http://www.broadinstitute.org/gsea/msigdb/cards/REACTOME_SIGNALING_BY_ALK.html","REACTOME_SIGNALING_BY_ALK")</f>
        <v>REACTOME_SIGNALING_BY_ALK</v>
      </c>
      <c r="C5818" s="4">
        <v>15</v>
      </c>
      <c r="D5818" s="3">
        <v>-1.2207182999999999</v>
      </c>
      <c r="E5818" s="1">
        <v>0.19951922999999999</v>
      </c>
      <c r="F5818" s="2">
        <v>0.39381853</v>
      </c>
    </row>
    <row r="5819" spans="1:6" x14ac:dyDescent="0.25">
      <c r="A5819" t="s">
        <v>6</v>
      </c>
      <c r="B5819" s="5" t="str">
        <f>HYPERLINK("http://www.broadinstitute.org/gsea/msigdb/cards/GOBP_HINDBRAIN_DEVELOPMENT.html","GOBP_HINDBRAIN_DEVELOPMENT")</f>
        <v>GOBP_HINDBRAIN_DEVELOPMENT</v>
      </c>
      <c r="C5819" s="4">
        <v>175</v>
      </c>
      <c r="D5819" s="3">
        <v>-1.2209833999999999</v>
      </c>
      <c r="E5819" s="1">
        <v>6.25E-2</v>
      </c>
      <c r="F5819" s="2">
        <v>0.39373687000000002</v>
      </c>
    </row>
    <row r="5820" spans="1:6" x14ac:dyDescent="0.25">
      <c r="A5820" t="s">
        <v>11</v>
      </c>
      <c r="B5820" s="5" t="str">
        <f>HYPERLINK("http://www.broadinstitute.org/gsea/msigdb/cards/WP_WNT_SIGNALING_PATHWAY_AND_PLURIPOTENCY.html","WP_WNT_SIGNALING_PATHWAY_AND_PLURIPOTENCY")</f>
        <v>WP_WNT_SIGNALING_PATHWAY_AND_PLURIPOTENCY</v>
      </c>
      <c r="C5820" s="4">
        <v>95</v>
      </c>
      <c r="D5820" s="3">
        <v>-1.2212201</v>
      </c>
      <c r="E5820" s="1">
        <v>9.9688470000000001E-2</v>
      </c>
      <c r="F5820" s="2">
        <v>0.39369537999999998</v>
      </c>
    </row>
    <row r="5821" spans="1:6" x14ac:dyDescent="0.25">
      <c r="A5821" t="s">
        <v>8</v>
      </c>
      <c r="B5821" s="5" t="str">
        <f>HYPERLINK("http://www.broadinstitute.org/gsea/msigdb/cards/GOMF_NEUROTRANSMITTER_RECEPTOR_ACTIVITY.html","GOMF_NEUROTRANSMITTER_RECEPTOR_ACTIVITY")</f>
        <v>GOMF_NEUROTRANSMITTER_RECEPTOR_ACTIVITY</v>
      </c>
      <c r="C5821" s="4">
        <v>88</v>
      </c>
      <c r="D5821" s="3">
        <v>-1.2218038</v>
      </c>
      <c r="E5821" s="1">
        <v>0.11357341</v>
      </c>
      <c r="F5821" s="2">
        <v>0.39289886000000002</v>
      </c>
    </row>
    <row r="5822" spans="1:6" x14ac:dyDescent="0.25">
      <c r="A5822" t="s">
        <v>6</v>
      </c>
      <c r="B5822" s="5" t="str">
        <f>HYPERLINK("http://www.broadinstitute.org/gsea/msigdb/cards/GOBP_RESPONSE_TO_COCAINE.html","GOBP_RESPONSE_TO_COCAINE")</f>
        <v>GOBP_RESPONSE_TO_COCAINE</v>
      </c>
      <c r="C5822" s="4">
        <v>43</v>
      </c>
      <c r="D5822" s="3">
        <v>-1.2223352000000001</v>
      </c>
      <c r="E5822" s="1">
        <v>0.14720812</v>
      </c>
      <c r="F5822" s="2">
        <v>0.39219179999999998</v>
      </c>
    </row>
    <row r="5823" spans="1:6" x14ac:dyDescent="0.25">
      <c r="A5823" t="s">
        <v>6</v>
      </c>
      <c r="B5823" s="5" t="str">
        <f>HYPERLINK("http://www.broadinstitute.org/gsea/msigdb/cards/GOBP_HISTONE_MODIFICATION.html","GOBP_HISTONE_MODIFICATION")</f>
        <v>GOBP_HISTONE_MODIFICATION</v>
      </c>
      <c r="C5823" s="4">
        <v>160</v>
      </c>
      <c r="D5823" s="3">
        <v>-1.2229238</v>
      </c>
      <c r="E5823" s="1">
        <v>8.5443035000000001E-2</v>
      </c>
      <c r="F5823" s="2">
        <v>0.39141789999999999</v>
      </c>
    </row>
    <row r="5824" spans="1:6" x14ac:dyDescent="0.25">
      <c r="A5824" t="s">
        <v>6</v>
      </c>
      <c r="B5824" s="5" t="str">
        <f>HYPERLINK("http://www.broadinstitute.org/gsea/msigdb/cards/GOBP_PRE_MIRNA_PROCESSING.html","GOBP_PRE_MIRNA_PROCESSING")</f>
        <v>GOBP_PRE_MIRNA_PROCESSING</v>
      </c>
      <c r="C5824" s="4">
        <v>16</v>
      </c>
      <c r="D5824" s="3">
        <v>-1.2232708999999999</v>
      </c>
      <c r="E5824" s="1">
        <v>0.21889400000000001</v>
      </c>
      <c r="F5824" s="2">
        <v>0.39115204999999997</v>
      </c>
    </row>
    <row r="5825" spans="1:6" x14ac:dyDescent="0.25">
      <c r="A5825" t="s">
        <v>10</v>
      </c>
      <c r="B5825" s="5" t="str">
        <f>HYPERLINK("http://www.broadinstitute.org/gsea/msigdb/cards/REACTOME_PROTEIN_HYDROXYLATION.html","REACTOME_PROTEIN_HYDROXYLATION")</f>
        <v>REACTOME_PROTEIN_HYDROXYLATION</v>
      </c>
      <c r="C5825" s="4">
        <v>18</v>
      </c>
      <c r="D5825" s="3">
        <v>-1.2238973</v>
      </c>
      <c r="E5825" s="1">
        <v>0.21116505999999999</v>
      </c>
      <c r="F5825" s="2">
        <v>0.39024892</v>
      </c>
    </row>
    <row r="5826" spans="1:6" x14ac:dyDescent="0.25">
      <c r="A5826" t="s">
        <v>6</v>
      </c>
      <c r="B5826" s="5" t="str">
        <f>HYPERLINK("http://www.broadinstitute.org/gsea/msigdb/cards/GOBP_TRNA_WOBBLE_BASE_MODIFICATION.html","GOBP_TRNA_WOBBLE_BASE_MODIFICATION")</f>
        <v>GOBP_TRNA_WOBBLE_BASE_MODIFICATION</v>
      </c>
      <c r="C5826" s="4">
        <v>18</v>
      </c>
      <c r="D5826" s="3">
        <v>-1.2242367999999999</v>
      </c>
      <c r="E5826" s="1">
        <v>0.19906323000000001</v>
      </c>
      <c r="F5826" s="2">
        <v>0.39000127000000001</v>
      </c>
    </row>
    <row r="5827" spans="1:6" x14ac:dyDescent="0.25">
      <c r="A5827" t="s">
        <v>6</v>
      </c>
      <c r="B5827" s="5" t="str">
        <f>HYPERLINK("http://www.broadinstitute.org/gsea/msigdb/cards/GOBP_POSITIVE_REGULATION_OF_VOLTAGE_GATED_POTASSIUM_CHANNEL_ACTIVITY.html","GOBP_POSITIVE_REGULATION_OF_VOLTAGE_GATED_POTASSIUM_CHANNEL_ACTIVITY")</f>
        <v>GOBP_POSITIVE_REGULATION_OF_VOLTAGE_GATED_POTASSIUM_CHANNEL_ACTIVITY</v>
      </c>
      <c r="C5827" s="4">
        <v>16</v>
      </c>
      <c r="D5827" s="3">
        <v>-1.2243657999999999</v>
      </c>
      <c r="E5827" s="1">
        <v>0.2038835</v>
      </c>
      <c r="F5827" s="2">
        <v>0.39020561999999998</v>
      </c>
    </row>
    <row r="5828" spans="1:6" x14ac:dyDescent="0.25">
      <c r="A5828" t="s">
        <v>6</v>
      </c>
      <c r="B5828" s="5" t="str">
        <f>HYPERLINK("http://www.broadinstitute.org/gsea/msigdb/cards/GOBP_NEGATIVE_REGULATION_OF_STEM_CELL_POPULATION_MAINTENANCE.html","GOBP_NEGATIVE_REGULATION_OF_STEM_CELL_POPULATION_MAINTENANCE")</f>
        <v>GOBP_NEGATIVE_REGULATION_OF_STEM_CELL_POPULATION_MAINTENANCE</v>
      </c>
      <c r="C5828" s="4">
        <v>25</v>
      </c>
      <c r="D5828" s="3">
        <v>-1.2250494000000001</v>
      </c>
      <c r="E5828" s="1">
        <v>0.17857143</v>
      </c>
      <c r="F5828" s="2">
        <v>0.3892448</v>
      </c>
    </row>
    <row r="5829" spans="1:6" x14ac:dyDescent="0.25">
      <c r="A5829" t="s">
        <v>6</v>
      </c>
      <c r="B5829" s="5" t="str">
        <f>HYPERLINK("http://www.broadinstitute.org/gsea/msigdb/cards/GOBP_MAINTENANCE_OF_SYNAPSE_STRUCTURE.html","GOBP_MAINTENANCE_OF_SYNAPSE_STRUCTURE")</f>
        <v>GOBP_MAINTENANCE_OF_SYNAPSE_STRUCTURE</v>
      </c>
      <c r="C5829" s="4">
        <v>28</v>
      </c>
      <c r="D5829" s="3">
        <v>-1.2261403</v>
      </c>
      <c r="E5829" s="1">
        <v>0.18072289</v>
      </c>
      <c r="F5829" s="2">
        <v>0.38741434000000002</v>
      </c>
    </row>
    <row r="5830" spans="1:6" x14ac:dyDescent="0.25">
      <c r="A5830" t="s">
        <v>6</v>
      </c>
      <c r="B5830" s="5" t="str">
        <f>HYPERLINK("http://www.broadinstitute.org/gsea/msigdb/cards/GOBP_CEREBELLAR_CORTEX_FORMATION.html","GOBP_CEREBELLAR_CORTEX_FORMATION")</f>
        <v>GOBP_CEREBELLAR_CORTEX_FORMATION</v>
      </c>
      <c r="C5830" s="4">
        <v>33</v>
      </c>
      <c r="D5830" s="3">
        <v>-1.2263845</v>
      </c>
      <c r="E5830" s="1">
        <v>0.17010309000000001</v>
      </c>
      <c r="F5830" s="2">
        <v>0.38734380000000002</v>
      </c>
    </row>
    <row r="5831" spans="1:6" x14ac:dyDescent="0.25">
      <c r="A5831" t="s">
        <v>6</v>
      </c>
      <c r="B5831" s="5" t="str">
        <f>HYPERLINK("http://www.broadinstitute.org/gsea/msigdb/cards/GOBP_POSITIVE_REGULATION_OF_MUSCLE_HYPERTROPHY.html","GOBP_POSITIVE_REGULATION_OF_MUSCLE_HYPERTROPHY")</f>
        <v>GOBP_POSITIVE_REGULATION_OF_MUSCLE_HYPERTROPHY</v>
      </c>
      <c r="C5831" s="4">
        <v>44</v>
      </c>
      <c r="D5831" s="3">
        <v>-1.2266108</v>
      </c>
      <c r="E5831" s="1">
        <v>0.14058356</v>
      </c>
      <c r="F5831" s="2">
        <v>0.38733622000000001</v>
      </c>
    </row>
    <row r="5832" spans="1:6" x14ac:dyDescent="0.25">
      <c r="A5832" t="s">
        <v>6</v>
      </c>
      <c r="B5832" s="5" t="str">
        <f>HYPERLINK("http://www.broadinstitute.org/gsea/msigdb/cards/GOBP_REGULATORY_NCRNA_PROCESSING.html","GOBP_REGULATORY_NCRNA_PROCESSING")</f>
        <v>GOBP_REGULATORY_NCRNA_PROCESSING</v>
      </c>
      <c r="C5832" s="4">
        <v>82</v>
      </c>
      <c r="D5832" s="3">
        <v>-1.227149</v>
      </c>
      <c r="E5832" s="1">
        <v>9.8445593999999997E-2</v>
      </c>
      <c r="F5832" s="2">
        <v>0.38672656</v>
      </c>
    </row>
    <row r="5833" spans="1:6" x14ac:dyDescent="0.25">
      <c r="A5833" t="s">
        <v>7</v>
      </c>
      <c r="B5833" s="5" t="str">
        <f>HYPERLINK("http://www.broadinstitute.org/gsea/msigdb/cards/GOCC_MICROTUBULE_ASSOCIATED_COMPLEX.html","GOCC_MICROTUBULE_ASSOCIATED_COMPLEX")</f>
        <v>GOCC_MICROTUBULE_ASSOCIATED_COMPLEX</v>
      </c>
      <c r="C5833" s="4">
        <v>144</v>
      </c>
      <c r="D5833" s="3">
        <v>-1.2281461</v>
      </c>
      <c r="E5833" s="1">
        <v>7.7160489999999998E-2</v>
      </c>
      <c r="F5833" s="2">
        <v>0.38516640000000002</v>
      </c>
    </row>
    <row r="5834" spans="1:6" x14ac:dyDescent="0.25">
      <c r="A5834" t="s">
        <v>8</v>
      </c>
      <c r="B5834" s="5" t="str">
        <f>HYPERLINK("http://www.broadinstitute.org/gsea/msigdb/cards/GOMF_TRANSLATION_REGULATOR_ACTIVITY_NUCLEIC_ACID_BINDING.html","GOMF_TRANSLATION_REGULATOR_ACTIVITY_NUCLEIC_ACID_BINDING")</f>
        <v>GOMF_TRANSLATION_REGULATOR_ACTIVITY_NUCLEIC_ACID_BINDING</v>
      </c>
      <c r="C5834" s="4">
        <v>95</v>
      </c>
      <c r="D5834" s="3">
        <v>-1.2284902</v>
      </c>
      <c r="E5834" s="1">
        <v>0.11242603499999999</v>
      </c>
      <c r="F5834" s="2">
        <v>0.38497797</v>
      </c>
    </row>
    <row r="5835" spans="1:6" x14ac:dyDescent="0.25">
      <c r="A5835" t="s">
        <v>10</v>
      </c>
      <c r="B5835" s="5" t="str">
        <f>HYPERLINK("http://www.broadinstitute.org/gsea/msigdb/cards/REACTOME_ORGANELLE_BIOGENESIS_AND_MAINTENANCE.html","REACTOME_ORGANELLE_BIOGENESIS_AND_MAINTENANCE")</f>
        <v>REACTOME_ORGANELLE_BIOGENESIS_AND_MAINTENANCE</v>
      </c>
      <c r="C5835" s="4">
        <v>206</v>
      </c>
      <c r="D5835" s="3">
        <v>-1.2293444</v>
      </c>
      <c r="E5835" s="1">
        <v>6.0498219999999998E-2</v>
      </c>
      <c r="F5835" s="2">
        <v>0.38364672999999999</v>
      </c>
    </row>
    <row r="5836" spans="1:6" x14ac:dyDescent="0.25">
      <c r="A5836" t="s">
        <v>6</v>
      </c>
      <c r="B5836" s="5" t="str">
        <f>HYPERLINK("http://www.broadinstitute.org/gsea/msigdb/cards/GOBP_INTERMEDIATE_FILAMENT_ORGANIZATION.html","GOBP_INTERMEDIATE_FILAMENT_ORGANIZATION")</f>
        <v>GOBP_INTERMEDIATE_FILAMENT_ORGANIZATION</v>
      </c>
      <c r="C5836" s="4">
        <v>72</v>
      </c>
      <c r="D5836" s="3">
        <v>-1.2295337</v>
      </c>
      <c r="E5836" s="1">
        <v>0.122340426</v>
      </c>
      <c r="F5836" s="2">
        <v>0.38378045</v>
      </c>
    </row>
    <row r="5837" spans="1:6" x14ac:dyDescent="0.25">
      <c r="A5837" t="s">
        <v>6</v>
      </c>
      <c r="B5837" s="5" t="str">
        <f>HYPERLINK("http://www.broadinstitute.org/gsea/msigdb/cards/GOBP_REGULATION_OF_MUSCLE_SYSTEM_PROCESS.html","GOBP_REGULATION_OF_MUSCLE_SYSTEM_PROCESS")</f>
        <v>GOBP_REGULATION_OF_MUSCLE_SYSTEM_PROCESS</v>
      </c>
      <c r="C5837" s="4">
        <v>260</v>
      </c>
      <c r="D5837" s="3">
        <v>-1.2298359999999999</v>
      </c>
      <c r="E5837" s="1">
        <v>2.9661017000000001E-2</v>
      </c>
      <c r="F5837" s="2">
        <v>0.38360490000000003</v>
      </c>
    </row>
    <row r="5838" spans="1:6" x14ac:dyDescent="0.25">
      <c r="A5838" t="s">
        <v>6</v>
      </c>
      <c r="B5838" s="5" t="str">
        <f>HYPERLINK("http://www.broadinstitute.org/gsea/msigdb/cards/GOBP_REGULATION_OF_INTRINSIC_APOPTOTIC_SIGNALING_PATHWAY_IN_RESPONSE_TO_DNA_DAMAGE_BY_P53_CLASS_MEDIATOR.html","GOBP_REGULATION_OF_INTRINSIC_APOPTOTIC_SIGNALING_PATHWAY_IN_RESPONSE_TO_DNA_DAMAGE_BY_P53_CLASS_MEDIATOR")</f>
        <v>GOBP_REGULATION_OF_INTRINSIC_APOPTOTIC_SIGNALING_PATHWAY_IN_RESPONSE_TO_DNA_DAMAGE_BY_P53_CLASS_MEDIATOR</v>
      </c>
      <c r="C5838" s="4">
        <v>16</v>
      </c>
      <c r="D5838" s="3">
        <v>-1.2299367999999999</v>
      </c>
      <c r="E5838" s="1">
        <v>0.17804877</v>
      </c>
      <c r="F5838" s="2">
        <v>0.383878</v>
      </c>
    </row>
    <row r="5839" spans="1:6" x14ac:dyDescent="0.25">
      <c r="A5839" t="s">
        <v>6</v>
      </c>
      <c r="B5839" s="5" t="str">
        <f>HYPERLINK("http://www.broadinstitute.org/gsea/msigdb/cards/GOBP_POST_TRANSCRIPTIONAL_REGULATION_OF_GENE_EXPRESSION.html","GOBP_POST_TRANSCRIPTIONAL_REGULATION_OF_GENE_EXPRESSION")</f>
        <v>GOBP_POST_TRANSCRIPTIONAL_REGULATION_OF_GENE_EXPRESSION</v>
      </c>
      <c r="C5839" s="4">
        <v>490</v>
      </c>
      <c r="D5839" s="3">
        <v>-1.2301131000000001</v>
      </c>
      <c r="E5839" s="1">
        <v>0.02</v>
      </c>
      <c r="F5839" s="2">
        <v>0.3840132</v>
      </c>
    </row>
    <row r="5840" spans="1:6" x14ac:dyDescent="0.25">
      <c r="A5840" t="s">
        <v>6</v>
      </c>
      <c r="B5840" s="5" t="str">
        <f>HYPERLINK("http://www.broadinstitute.org/gsea/msigdb/cards/GOBP_NEGATIVE_REGULATION_OF_PROTEASOMAL_PROTEIN_CATABOLIC_PROCESS.html","GOBP_NEGATIVE_REGULATION_OF_PROTEASOMAL_PROTEIN_CATABOLIC_PROCESS")</f>
        <v>GOBP_NEGATIVE_REGULATION_OF_PROTEASOMAL_PROTEIN_CATABOLIC_PROCESS</v>
      </c>
      <c r="C5840" s="4">
        <v>52</v>
      </c>
      <c r="D5840" s="3">
        <v>-1.2301245000000001</v>
      </c>
      <c r="E5840" s="1">
        <v>0.12732096000000001</v>
      </c>
      <c r="F5840" s="2">
        <v>0.38446530000000001</v>
      </c>
    </row>
    <row r="5841" spans="1:6" x14ac:dyDescent="0.25">
      <c r="A5841" t="s">
        <v>6</v>
      </c>
      <c r="B5841" s="5" t="str">
        <f>HYPERLINK("http://www.broadinstitute.org/gsea/msigdb/cards/GOBP_LOCOMOTORY_EXPLORATION_BEHAVIOR.html","GOBP_LOCOMOTORY_EXPLORATION_BEHAVIOR")</f>
        <v>GOBP_LOCOMOTORY_EXPLORATION_BEHAVIOR</v>
      </c>
      <c r="C5841" s="4">
        <v>20</v>
      </c>
      <c r="D5841" s="3">
        <v>-1.2313129</v>
      </c>
      <c r="E5841" s="1">
        <v>0.18075116999999999</v>
      </c>
      <c r="F5841" s="2">
        <v>0.38235702999999999</v>
      </c>
    </row>
    <row r="5842" spans="1:6" x14ac:dyDescent="0.25">
      <c r="A5842" t="s">
        <v>8</v>
      </c>
      <c r="B5842" s="5" t="str">
        <f>HYPERLINK("http://www.broadinstitute.org/gsea/msigdb/cards/GOMF_PROTON_TRANSMEMBRANE_TRANSPORTER_ACTIVITY.html","GOMF_PROTON_TRANSMEMBRANE_TRANSPORTER_ACTIVITY")</f>
        <v>GOMF_PROTON_TRANSMEMBRANE_TRANSPORTER_ACTIVITY</v>
      </c>
      <c r="C5842" s="4">
        <v>111</v>
      </c>
      <c r="D5842" s="3">
        <v>-1.2333316000000001</v>
      </c>
      <c r="E5842" s="1">
        <v>9.5092019999999999E-2</v>
      </c>
      <c r="F5842" s="2">
        <v>0.37858819999999999</v>
      </c>
    </row>
    <row r="5843" spans="1:6" x14ac:dyDescent="0.25">
      <c r="A5843" t="s">
        <v>6</v>
      </c>
      <c r="B5843" s="5" t="str">
        <f>HYPERLINK("http://www.broadinstitute.org/gsea/msigdb/cards/GOBP_MITOTIC_RECOMBINATION.html","GOBP_MITOTIC_RECOMBINATION")</f>
        <v>GOBP_MITOTIC_RECOMBINATION</v>
      </c>
      <c r="C5843" s="4">
        <v>24</v>
      </c>
      <c r="D5843" s="3">
        <v>-1.2333700000000001</v>
      </c>
      <c r="E5843" s="1">
        <v>0.17745802999999999</v>
      </c>
      <c r="F5843" s="2">
        <v>0.37900117</v>
      </c>
    </row>
    <row r="5844" spans="1:6" x14ac:dyDescent="0.25">
      <c r="A5844" t="s">
        <v>8</v>
      </c>
      <c r="B5844" s="5" t="str">
        <f>HYPERLINK("http://www.broadinstitute.org/gsea/msigdb/cards/GOMF_ENDONUCLEASE_ACTIVITY_ACTIVE_WITH_EITHER_RIBO_OR_DEOXYRIBONUCLEIC_ACIDS_AND_PRODUCING_5_PHOSPHOMONOESTERS.html","GOMF_ENDONUCLEASE_ACTIVITY_ACTIVE_WITH_EITHER_RIBO_OR_DEOXYRIBONUCLEIC_ACIDS_AND_PRODUCING_5_PHOSPHOMONOESTERS")</f>
        <v>GOMF_ENDONUCLEASE_ACTIVITY_ACTIVE_WITH_EITHER_RIBO_OR_DEOXYRIBONUCLEIC_ACIDS_AND_PRODUCING_5_PHOSPHOMONOESTERS</v>
      </c>
      <c r="C5844" s="4">
        <v>37</v>
      </c>
      <c r="D5844" s="3">
        <v>-1.2335719999999999</v>
      </c>
      <c r="E5844" s="1">
        <v>0.15233415</v>
      </c>
      <c r="F5844" s="2">
        <v>0.37904873</v>
      </c>
    </row>
    <row r="5845" spans="1:6" x14ac:dyDescent="0.25">
      <c r="A5845" t="s">
        <v>6</v>
      </c>
      <c r="B5845" s="5" t="str">
        <f>HYPERLINK("http://www.broadinstitute.org/gsea/msigdb/cards/GOBP_NEUROMUSCULAR_PROCESS_CONTROLLING_POSTURE.html","GOBP_NEUROMUSCULAR_PROCESS_CONTROLLING_POSTURE")</f>
        <v>GOBP_NEUROMUSCULAR_PROCESS_CONTROLLING_POSTURE</v>
      </c>
      <c r="C5845" s="4">
        <v>20</v>
      </c>
      <c r="D5845" s="3">
        <v>-1.2340536</v>
      </c>
      <c r="E5845" s="1">
        <v>0.16548463999999999</v>
      </c>
      <c r="F5845" s="2">
        <v>0.37851372</v>
      </c>
    </row>
    <row r="5846" spans="1:6" x14ac:dyDescent="0.25">
      <c r="A5846" t="s">
        <v>10</v>
      </c>
      <c r="B5846" s="5" t="str">
        <f>HYPERLINK("http://www.broadinstitute.org/gsea/msigdb/cards/REACTOME_RNA_POLYMERASE_III_TRANSCRIPTION_INITIATION_FROM_TYPE_3_PROMOTER.html","REACTOME_RNA_POLYMERASE_III_TRANSCRIPTION_INITIATION_FROM_TYPE_3_PROMOTER")</f>
        <v>REACTOME_RNA_POLYMERASE_III_TRANSCRIPTION_INITIATION_FROM_TYPE_3_PROMOTER</v>
      </c>
      <c r="C5846" s="4">
        <v>26</v>
      </c>
      <c r="D5846" s="3">
        <v>-1.2345075999999999</v>
      </c>
      <c r="E5846" s="1">
        <v>0.17705736</v>
      </c>
      <c r="F5846" s="2">
        <v>0.37804802999999998</v>
      </c>
    </row>
    <row r="5847" spans="1:6" x14ac:dyDescent="0.25">
      <c r="A5847" t="s">
        <v>6</v>
      </c>
      <c r="B5847" s="5" t="str">
        <f>HYPERLINK("http://www.broadinstitute.org/gsea/msigdb/cards/GOBP_MRNA_CIS_SPLICING_VIA_SPLICEOSOME.html","GOBP_MRNA_CIS_SPLICING_VIA_SPLICEOSOME")</f>
        <v>GOBP_MRNA_CIS_SPLICING_VIA_SPLICEOSOME</v>
      </c>
      <c r="C5847" s="4">
        <v>21</v>
      </c>
      <c r="D5847" s="3">
        <v>-1.2346412</v>
      </c>
      <c r="E5847" s="1">
        <v>0.17499999999999999</v>
      </c>
      <c r="F5847" s="2">
        <v>0.37825330000000001</v>
      </c>
    </row>
    <row r="5848" spans="1:6" x14ac:dyDescent="0.25">
      <c r="A5848" t="s">
        <v>6</v>
      </c>
      <c r="B5848" s="5" t="str">
        <f>HYPERLINK("http://www.broadinstitute.org/gsea/msigdb/cards/GOBP_SOMATIC_STEM_CELL_POPULATION_MAINTENANCE.html","GOBP_SOMATIC_STEM_CELL_POPULATION_MAINTENANCE")</f>
        <v>GOBP_SOMATIC_STEM_CELL_POPULATION_MAINTENANCE</v>
      </c>
      <c r="C5848" s="4">
        <v>84</v>
      </c>
      <c r="D5848" s="3">
        <v>-1.2348422999999999</v>
      </c>
      <c r="E5848" s="1">
        <v>0.1253406</v>
      </c>
      <c r="F5848" s="2">
        <v>0.37831056000000002</v>
      </c>
    </row>
    <row r="5849" spans="1:6" x14ac:dyDescent="0.25">
      <c r="A5849" t="s">
        <v>10</v>
      </c>
      <c r="B5849" s="5" t="str">
        <f>HYPERLINK("http://www.broadinstitute.org/gsea/msigdb/cards/REACTOME_AGGREPHAGY.html","REACTOME_AGGREPHAGY")</f>
        <v>REACTOME_AGGREPHAGY</v>
      </c>
      <c r="C5849" s="4">
        <v>35</v>
      </c>
      <c r="D5849" s="3">
        <v>-1.2359116000000001</v>
      </c>
      <c r="E5849" s="1">
        <v>0.13253012</v>
      </c>
      <c r="F5849" s="2">
        <v>0.37655705</v>
      </c>
    </row>
    <row r="5850" spans="1:6" x14ac:dyDescent="0.25">
      <c r="A5850" t="s">
        <v>11</v>
      </c>
      <c r="B5850" s="5" t="str">
        <f>HYPERLINK("http://www.broadinstitute.org/gsea/msigdb/cards/WP_EDA_SIGNALING_IN_HAIR_FOLLICLE_DEVELOPMENT.html","WP_EDA_SIGNALING_IN_HAIR_FOLLICLE_DEVELOPMENT")</f>
        <v>WP_EDA_SIGNALING_IN_HAIR_FOLLICLE_DEVELOPMENT</v>
      </c>
      <c r="C5850" s="4">
        <v>18</v>
      </c>
      <c r="D5850" s="3">
        <v>-1.2367775000000001</v>
      </c>
      <c r="E5850" s="1">
        <v>0.18536585999999999</v>
      </c>
      <c r="F5850" s="2">
        <v>0.37517731999999998</v>
      </c>
    </row>
    <row r="5851" spans="1:6" x14ac:dyDescent="0.25">
      <c r="A5851" t="s">
        <v>6</v>
      </c>
      <c r="B5851" s="5" t="str">
        <f>HYPERLINK("http://www.broadinstitute.org/gsea/msigdb/cards/GOBP_CEREBELLAR_PURKINJE_CELL_LAYER_DEVELOPMENT.html","GOBP_CEREBELLAR_PURKINJE_CELL_LAYER_DEVELOPMENT")</f>
        <v>GOBP_CEREBELLAR_PURKINJE_CELL_LAYER_DEVELOPMENT</v>
      </c>
      <c r="C5851" s="4">
        <v>39</v>
      </c>
      <c r="D5851" s="3">
        <v>-1.2368754</v>
      </c>
      <c r="E5851" s="1">
        <v>0.14615385</v>
      </c>
      <c r="F5851" s="2">
        <v>0.37546681999999998</v>
      </c>
    </row>
    <row r="5852" spans="1:6" x14ac:dyDescent="0.25">
      <c r="A5852" t="s">
        <v>10</v>
      </c>
      <c r="B5852" s="5" t="str">
        <f>HYPERLINK("http://www.broadinstitute.org/gsea/msigdb/cards/REACTOME_SYNTHESIS_OF_PA.html","REACTOME_SYNTHESIS_OF_PA")</f>
        <v>REACTOME_SYNTHESIS_OF_PA</v>
      </c>
      <c r="C5852" s="4">
        <v>34</v>
      </c>
      <c r="D5852" s="3">
        <v>-1.2375164000000001</v>
      </c>
      <c r="E5852" s="1">
        <v>0.1557789</v>
      </c>
      <c r="F5852" s="2">
        <v>0.37460172000000003</v>
      </c>
    </row>
    <row r="5853" spans="1:6" x14ac:dyDescent="0.25">
      <c r="A5853" t="s">
        <v>7</v>
      </c>
      <c r="B5853" s="5" t="str">
        <f>HYPERLINK("http://www.broadinstitute.org/gsea/msigdb/cards/GOCC_NUCLEOID.html","GOCC_NUCLEOID")</f>
        <v>GOCC_NUCLEOID</v>
      </c>
      <c r="C5853" s="4">
        <v>48</v>
      </c>
      <c r="D5853" s="3">
        <v>-1.2379366000000001</v>
      </c>
      <c r="E5853" s="1">
        <v>0.13953488999999999</v>
      </c>
      <c r="F5853" s="2">
        <v>0.37421924000000001</v>
      </c>
    </row>
    <row r="5854" spans="1:6" x14ac:dyDescent="0.25">
      <c r="A5854" t="s">
        <v>6</v>
      </c>
      <c r="B5854" s="5" t="str">
        <f>HYPERLINK("http://www.broadinstitute.org/gsea/msigdb/cards/GOBP_MAMMARY_GLAND_EPITHELIUM_DEVELOPMENT.html","GOBP_MAMMARY_GLAND_EPITHELIUM_DEVELOPMENT")</f>
        <v>GOBP_MAMMARY_GLAND_EPITHELIUM_DEVELOPMENT</v>
      </c>
      <c r="C5854" s="4">
        <v>77</v>
      </c>
      <c r="D5854" s="3">
        <v>-1.2389289999999999</v>
      </c>
      <c r="E5854" s="1">
        <v>9.5490720000000001E-2</v>
      </c>
      <c r="F5854" s="2">
        <v>0.37264659999999999</v>
      </c>
    </row>
    <row r="5855" spans="1:6" x14ac:dyDescent="0.25">
      <c r="A5855" t="s">
        <v>6</v>
      </c>
      <c r="B5855" s="5" t="str">
        <f>HYPERLINK("http://www.broadinstitute.org/gsea/msigdb/cards/GOBP_RNA_EXPORT_FROM_NUCLEUS.html","GOBP_RNA_EXPORT_FROM_NUCLEUS")</f>
        <v>GOBP_RNA_EXPORT_FROM_NUCLEUS</v>
      </c>
      <c r="C5855" s="4">
        <v>80</v>
      </c>
      <c r="D5855" s="3">
        <v>-1.2390650000000001</v>
      </c>
      <c r="E5855" s="1">
        <v>9.6685080000000007E-2</v>
      </c>
      <c r="F5855" s="2">
        <v>0.37286206999999999</v>
      </c>
    </row>
    <row r="5856" spans="1:6" x14ac:dyDescent="0.25">
      <c r="A5856" t="s">
        <v>8</v>
      </c>
      <c r="B5856" s="5" t="str">
        <f>HYPERLINK("http://www.broadinstitute.org/gsea/msigdb/cards/GOMF_MIRNA_BINDING.html","GOMF_MIRNA_BINDING")</f>
        <v>GOMF_MIRNA_BINDING</v>
      </c>
      <c r="C5856" s="4">
        <v>32</v>
      </c>
      <c r="D5856" s="3">
        <v>-1.2391658000000001</v>
      </c>
      <c r="E5856" s="1">
        <v>0.16129031999999999</v>
      </c>
      <c r="F5856" s="2">
        <v>0.37312788000000002</v>
      </c>
    </row>
    <row r="5857" spans="1:6" x14ac:dyDescent="0.25">
      <c r="A5857" t="s">
        <v>6</v>
      </c>
      <c r="B5857" s="5" t="str">
        <f>HYPERLINK("http://www.broadinstitute.org/gsea/msigdb/cards/GOBP_THYROID_GLAND_DEVELOPMENT.html","GOBP_THYROID_GLAND_DEVELOPMENT")</f>
        <v>GOBP_THYROID_GLAND_DEVELOPMENT</v>
      </c>
      <c r="C5857" s="4">
        <v>32</v>
      </c>
      <c r="D5857" s="3">
        <v>-1.2395271999999999</v>
      </c>
      <c r="E5857" s="1">
        <v>0.15458937</v>
      </c>
      <c r="F5857" s="2">
        <v>0.37286022000000002</v>
      </c>
    </row>
    <row r="5858" spans="1:6" x14ac:dyDescent="0.25">
      <c r="A5858" t="s">
        <v>6</v>
      </c>
      <c r="B5858" s="5" t="str">
        <f>HYPERLINK("http://www.broadinstitute.org/gsea/msigdb/cards/GOBP_MICROTUBULE_ANCHORING.html","GOBP_MICROTUBULE_ANCHORING")</f>
        <v>GOBP_MICROTUBULE_ANCHORING</v>
      </c>
      <c r="C5858" s="4">
        <v>25</v>
      </c>
      <c r="D5858" s="3">
        <v>-1.2404554000000001</v>
      </c>
      <c r="E5858" s="1">
        <v>0.16513762000000001</v>
      </c>
      <c r="F5858" s="2">
        <v>0.37142465000000002</v>
      </c>
    </row>
    <row r="5859" spans="1:6" x14ac:dyDescent="0.25">
      <c r="A5859" t="s">
        <v>9</v>
      </c>
      <c r="B5859" s="5" t="str">
        <f>HYPERLINK("http://www.broadinstitute.org/gsea/msigdb/cards/HALLMARK_KRAS_SIGNALING_DN.html","HALLMARK_KRAS_SIGNALING_DN")</f>
        <v>HALLMARK_KRAS_SIGNALING_DN</v>
      </c>
      <c r="C5859" s="4">
        <v>183</v>
      </c>
      <c r="D5859" s="3">
        <v>-1.2412209999999999</v>
      </c>
      <c r="E5859" s="1">
        <v>3.8869257999999997E-2</v>
      </c>
      <c r="F5859" s="2">
        <v>0.37033975000000002</v>
      </c>
    </row>
    <row r="5860" spans="1:6" x14ac:dyDescent="0.25">
      <c r="A5860" t="s">
        <v>6</v>
      </c>
      <c r="B5860" s="5" t="str">
        <f>HYPERLINK("http://www.broadinstitute.org/gsea/msigdb/cards/GOBP_CELL_CYCLE_G1_S_PHASE_TRANSITION.html","GOBP_CELL_CYCLE_G1_S_PHASE_TRANSITION")</f>
        <v>GOBP_CELL_CYCLE_G1_S_PHASE_TRANSITION</v>
      </c>
      <c r="C5860" s="4">
        <v>253</v>
      </c>
      <c r="D5860" s="3">
        <v>-1.2414917999999999</v>
      </c>
      <c r="E5860" s="1">
        <v>4.4176704999999997E-2</v>
      </c>
      <c r="F5860" s="2">
        <v>0.37025597999999998</v>
      </c>
    </row>
    <row r="5861" spans="1:6" x14ac:dyDescent="0.25">
      <c r="A5861" t="s">
        <v>6</v>
      </c>
      <c r="B5861" s="5" t="str">
        <f>HYPERLINK("http://www.broadinstitute.org/gsea/msigdb/cards/GOBP_REGULATION_OF_COLLATERAL_SPROUTING.html","GOBP_REGULATION_OF_COLLATERAL_SPROUTING")</f>
        <v>GOBP_REGULATION_OF_COLLATERAL_SPROUTING</v>
      </c>
      <c r="C5861" s="4">
        <v>22</v>
      </c>
      <c r="D5861" s="3">
        <v>-1.2417301000000001</v>
      </c>
      <c r="E5861" s="1">
        <v>0.15980630000000001</v>
      </c>
      <c r="F5861" s="2">
        <v>0.37025311999999999</v>
      </c>
    </row>
    <row r="5862" spans="1:6" x14ac:dyDescent="0.25">
      <c r="A5862" t="s">
        <v>10</v>
      </c>
      <c r="B5862" s="5" t="str">
        <f>HYPERLINK("http://www.broadinstitute.org/gsea/msigdb/cards/REACTOME_SELECTIVE_AUTOPHAGY.html","REACTOME_SELECTIVE_AUTOPHAGY")</f>
        <v>REACTOME_SELECTIVE_AUTOPHAGY</v>
      </c>
      <c r="C5862" s="4">
        <v>63</v>
      </c>
      <c r="D5862" s="3">
        <v>-1.2417549000000001</v>
      </c>
      <c r="E5862" s="1">
        <v>0.10483871</v>
      </c>
      <c r="F5862" s="2">
        <v>0.37068474000000001</v>
      </c>
    </row>
    <row r="5863" spans="1:6" x14ac:dyDescent="0.25">
      <c r="A5863" t="s">
        <v>10</v>
      </c>
      <c r="B5863" s="5" t="str">
        <f>HYPERLINK("http://www.broadinstitute.org/gsea/msigdb/cards/REACTOME_NONHOMOLOGOUS_END_JOINING_NHEJ.html","REACTOME_NONHOMOLOGOUS_END_JOINING_NHEJ")</f>
        <v>REACTOME_NONHOMOLOGOUS_END_JOINING_NHEJ</v>
      </c>
      <c r="C5863" s="4">
        <v>62</v>
      </c>
      <c r="D5863" s="3">
        <v>-1.2424586</v>
      </c>
      <c r="E5863" s="1">
        <v>0.10810810999999999</v>
      </c>
      <c r="F5863" s="2">
        <v>0.36977874999999999</v>
      </c>
    </row>
    <row r="5864" spans="1:6" x14ac:dyDescent="0.25">
      <c r="A5864" t="s">
        <v>8</v>
      </c>
      <c r="B5864" s="5" t="str">
        <f>HYPERLINK("http://www.broadinstitute.org/gsea/msigdb/cards/GOMF_LIGAND_GATED_CHANNEL_ACTIVITY.html","GOMF_LIGAND_GATED_CHANNEL_ACTIVITY")</f>
        <v>GOMF_LIGAND_GATED_CHANNEL_ACTIVITY</v>
      </c>
      <c r="C5864" s="4">
        <v>135</v>
      </c>
      <c r="D5864" s="3">
        <v>-1.2432177</v>
      </c>
      <c r="E5864" s="1">
        <v>6.188925E-2</v>
      </c>
      <c r="F5864" s="2">
        <v>0.36867877999999998</v>
      </c>
    </row>
    <row r="5865" spans="1:6" x14ac:dyDescent="0.25">
      <c r="A5865" t="s">
        <v>6</v>
      </c>
      <c r="B5865" s="5" t="str">
        <f>HYPERLINK("http://www.broadinstitute.org/gsea/msigdb/cards/GOBP_ALDEHYDE_CATABOLIC_PROCESS.html","GOBP_ALDEHYDE_CATABOLIC_PROCESS")</f>
        <v>GOBP_ALDEHYDE_CATABOLIC_PROCESS</v>
      </c>
      <c r="C5865" s="4">
        <v>16</v>
      </c>
      <c r="D5865" s="3">
        <v>-1.2434331999999999</v>
      </c>
      <c r="E5865" s="1">
        <v>0.19761904999999999</v>
      </c>
      <c r="F5865" s="2">
        <v>0.36871752000000002</v>
      </c>
    </row>
    <row r="5866" spans="1:6" x14ac:dyDescent="0.25">
      <c r="A5866" t="s">
        <v>6</v>
      </c>
      <c r="B5866" s="5" t="str">
        <f>HYPERLINK("http://www.broadinstitute.org/gsea/msigdb/cards/GOBP_POSITIVE_REGULATION_OF_EPIDERMAL_CELL_DIFFERENTIATION.html","GOBP_POSITIVE_REGULATION_OF_EPIDERMAL_CELL_DIFFERENTIATION")</f>
        <v>GOBP_POSITIVE_REGULATION_OF_EPIDERMAL_CELL_DIFFERENTIATION</v>
      </c>
      <c r="C5866" s="4">
        <v>22</v>
      </c>
      <c r="D5866" s="3">
        <v>-1.2434993999999999</v>
      </c>
      <c r="E5866" s="1">
        <v>0.16666666999999999</v>
      </c>
      <c r="F5866" s="2">
        <v>0.36908249999999998</v>
      </c>
    </row>
    <row r="5867" spans="1:6" x14ac:dyDescent="0.25">
      <c r="A5867" t="s">
        <v>6</v>
      </c>
      <c r="B5867" s="5" t="str">
        <f>HYPERLINK("http://www.broadinstitute.org/gsea/msigdb/cards/GOBP_SYNAPTIC_MEMBRANE_ADHESION.html","GOBP_SYNAPTIC_MEMBRANE_ADHESION")</f>
        <v>GOBP_SYNAPTIC_MEMBRANE_ADHESION</v>
      </c>
      <c r="C5867" s="4">
        <v>36</v>
      </c>
      <c r="D5867" s="3">
        <v>-1.2438418</v>
      </c>
      <c r="E5867" s="1">
        <v>0.15789473000000001</v>
      </c>
      <c r="F5867" s="2">
        <v>0.36882436000000002</v>
      </c>
    </row>
    <row r="5868" spans="1:6" x14ac:dyDescent="0.25">
      <c r="A5868" t="s">
        <v>6</v>
      </c>
      <c r="B5868" s="5" t="str">
        <f>HYPERLINK("http://www.broadinstitute.org/gsea/msigdb/cards/GOBP_NEGATIVE_REGULATION_OF_OLIGODENDROCYTE_DIFFERENTIATION.html","GOBP_NEGATIVE_REGULATION_OF_OLIGODENDROCYTE_DIFFERENTIATION")</f>
        <v>GOBP_NEGATIVE_REGULATION_OF_OLIGODENDROCYTE_DIFFERENTIATION</v>
      </c>
      <c r="C5868" s="4">
        <v>18</v>
      </c>
      <c r="D5868" s="3">
        <v>-1.2455016000000001</v>
      </c>
      <c r="E5868" s="1">
        <v>0.17021275999999999</v>
      </c>
      <c r="F5868" s="2">
        <v>0.36582986000000001</v>
      </c>
    </row>
    <row r="5869" spans="1:6" x14ac:dyDescent="0.25">
      <c r="A5869" t="s">
        <v>6</v>
      </c>
      <c r="B5869" s="5" t="str">
        <f>HYPERLINK("http://www.broadinstitute.org/gsea/msigdb/cards/GOBP_OUTER_DYNEIN_ARM_ASSEMBLY.html","GOBP_OUTER_DYNEIN_ARM_ASSEMBLY")</f>
        <v>GOBP_OUTER_DYNEIN_ARM_ASSEMBLY</v>
      </c>
      <c r="C5869" s="4">
        <v>21</v>
      </c>
      <c r="D5869" s="3">
        <v>-1.2456634</v>
      </c>
      <c r="E5869" s="1">
        <v>0.16818182000000001</v>
      </c>
      <c r="F5869" s="2">
        <v>0.36597543999999999</v>
      </c>
    </row>
    <row r="5870" spans="1:6" x14ac:dyDescent="0.25">
      <c r="A5870" t="s">
        <v>8</v>
      </c>
      <c r="B5870" s="5" t="str">
        <f>HYPERLINK("http://www.broadinstitute.org/gsea/msigdb/cards/GOMF_LIGAND_GATED_MONOATOMIC_CATION_CHANNEL_ACTIVITY.html","GOMF_LIGAND_GATED_MONOATOMIC_CATION_CHANNEL_ACTIVITY")</f>
        <v>GOMF_LIGAND_GATED_MONOATOMIC_CATION_CHANNEL_ACTIVITY</v>
      </c>
      <c r="C5870" s="4">
        <v>94</v>
      </c>
      <c r="D5870" s="3">
        <v>-1.2473363</v>
      </c>
      <c r="E5870" s="1">
        <v>7.2072074E-2</v>
      </c>
      <c r="F5870" s="2">
        <v>0.36304375999999999</v>
      </c>
    </row>
    <row r="5871" spans="1:6" x14ac:dyDescent="0.25">
      <c r="A5871" t="s">
        <v>6</v>
      </c>
      <c r="B5871" s="5" t="str">
        <f>HYPERLINK("http://www.broadinstitute.org/gsea/msigdb/cards/GOBP_RESPONSE_TO_X_RAY.html","GOBP_RESPONSE_TO_X_RAY")</f>
        <v>GOBP_RESPONSE_TO_X_RAY</v>
      </c>
      <c r="C5871" s="4">
        <v>26</v>
      </c>
      <c r="D5871" s="3">
        <v>-1.2473997999999999</v>
      </c>
      <c r="E5871" s="1">
        <v>0.16780046000000001</v>
      </c>
      <c r="F5871" s="2">
        <v>0.36340003999999998</v>
      </c>
    </row>
    <row r="5872" spans="1:6" x14ac:dyDescent="0.25">
      <c r="A5872" t="s">
        <v>9</v>
      </c>
      <c r="B5872" s="5" t="str">
        <f>HYPERLINK("http://www.broadinstitute.org/gsea/msigdb/cards/HALLMARK_NOTCH_SIGNALING.html","HALLMARK_NOTCH_SIGNALING")</f>
        <v>HALLMARK_NOTCH_SIGNALING</v>
      </c>
      <c r="C5872" s="4">
        <v>32</v>
      </c>
      <c r="D5872" s="3">
        <v>-1.2474544999999999</v>
      </c>
      <c r="E5872" s="1">
        <v>0.15920397999999999</v>
      </c>
      <c r="F5872" s="2">
        <v>0.36376074000000003</v>
      </c>
    </row>
    <row r="5873" spans="1:6" x14ac:dyDescent="0.25">
      <c r="A5873" t="s">
        <v>6</v>
      </c>
      <c r="B5873" s="5" t="str">
        <f>HYPERLINK("http://www.broadinstitute.org/gsea/msigdb/cards/GOBP_RIBOSOMAL_LARGE_SUBUNIT_ASSEMBLY.html","GOBP_RIBOSOMAL_LARGE_SUBUNIT_ASSEMBLY")</f>
        <v>GOBP_RIBOSOMAL_LARGE_SUBUNIT_ASSEMBLY</v>
      </c>
      <c r="C5873" s="4">
        <v>25</v>
      </c>
      <c r="D5873" s="3">
        <v>-1.2474692999999999</v>
      </c>
      <c r="E5873" s="1">
        <v>0.16475972999999999</v>
      </c>
      <c r="F5873" s="2">
        <v>0.36421641999999999</v>
      </c>
    </row>
    <row r="5874" spans="1:6" x14ac:dyDescent="0.25">
      <c r="A5874" t="s">
        <v>6</v>
      </c>
      <c r="B5874" s="5" t="str">
        <f>HYPERLINK("http://www.broadinstitute.org/gsea/msigdb/cards/GOBP_NEGATIVE_REGULATION_OF_MICROTUBULE_POLYMERIZATION_OR_DEPOLYMERIZATION.html","GOBP_NEGATIVE_REGULATION_OF_MICROTUBULE_POLYMERIZATION_OR_DEPOLYMERIZATION")</f>
        <v>GOBP_NEGATIVE_REGULATION_OF_MICROTUBULE_POLYMERIZATION_OR_DEPOLYMERIZATION</v>
      </c>
      <c r="C5874" s="4">
        <v>49</v>
      </c>
      <c r="D5874" s="3">
        <v>-1.2477370000000001</v>
      </c>
      <c r="E5874" s="1">
        <v>0.11414392</v>
      </c>
      <c r="F5874" s="2">
        <v>0.36412293000000001</v>
      </c>
    </row>
    <row r="5875" spans="1:6" x14ac:dyDescent="0.25">
      <c r="A5875" t="s">
        <v>8</v>
      </c>
      <c r="B5875" s="5" t="str">
        <f>HYPERLINK("http://www.broadinstitute.org/gsea/msigdb/cards/GOMF_IONOTROPIC_GLUTAMATE_RECEPTOR_ACTIVITY.html","GOMF_IONOTROPIC_GLUTAMATE_RECEPTOR_ACTIVITY")</f>
        <v>GOMF_IONOTROPIC_GLUTAMATE_RECEPTOR_ACTIVITY</v>
      </c>
      <c r="C5875" s="4">
        <v>19</v>
      </c>
      <c r="D5875" s="3">
        <v>-1.2477986000000001</v>
      </c>
      <c r="E5875" s="1">
        <v>0.18735892000000001</v>
      </c>
      <c r="F5875" s="2">
        <v>0.364485</v>
      </c>
    </row>
    <row r="5876" spans="1:6" x14ac:dyDescent="0.25">
      <c r="A5876" t="s">
        <v>6</v>
      </c>
      <c r="B5876" s="5" t="str">
        <f>HYPERLINK("http://www.broadinstitute.org/gsea/msigdb/cards/GOBP_REGULATION_OF_SMOOTH_MUSCLE_CELL_DIFFERENTIATION.html","GOBP_REGULATION_OF_SMOOTH_MUSCLE_CELL_DIFFERENTIATION")</f>
        <v>GOBP_REGULATION_OF_SMOOTH_MUSCLE_CELL_DIFFERENTIATION</v>
      </c>
      <c r="C5876" s="4">
        <v>33</v>
      </c>
      <c r="D5876" s="3">
        <v>-1.2478465000000001</v>
      </c>
      <c r="E5876" s="1">
        <v>0.15853658000000001</v>
      </c>
      <c r="F5876" s="2">
        <v>0.36488510000000002</v>
      </c>
    </row>
    <row r="5877" spans="1:6" x14ac:dyDescent="0.25">
      <c r="A5877" t="s">
        <v>8</v>
      </c>
      <c r="B5877" s="5" t="str">
        <f>HYPERLINK("http://www.broadinstitute.org/gsea/msigdb/cards/GOMF_PROMOTER_SPECIFIC_CHROMATIN_BINDING.html","GOMF_PROMOTER_SPECIFIC_CHROMATIN_BINDING")</f>
        <v>GOMF_PROMOTER_SPECIFIC_CHROMATIN_BINDING</v>
      </c>
      <c r="C5877" s="4">
        <v>78</v>
      </c>
      <c r="D5877" s="3">
        <v>-1.2481736999999999</v>
      </c>
      <c r="E5877" s="1">
        <v>0.10152284</v>
      </c>
      <c r="F5877" s="2">
        <v>0.36477003000000002</v>
      </c>
    </row>
    <row r="5878" spans="1:6" x14ac:dyDescent="0.25">
      <c r="A5878" t="s">
        <v>8</v>
      </c>
      <c r="B5878" s="5" t="str">
        <f>HYPERLINK("http://www.broadinstitute.org/gsea/msigdb/cards/GOMF_TRANSLATION_REPRESSOR_ACTIVITY.html","GOMF_TRANSLATION_REPRESSOR_ACTIVITY")</f>
        <v>GOMF_TRANSLATION_REPRESSOR_ACTIVITY</v>
      </c>
      <c r="C5878" s="4">
        <v>29</v>
      </c>
      <c r="D5878" s="3">
        <v>-1.2489988999999999</v>
      </c>
      <c r="E5878" s="1">
        <v>0.15733332999999999</v>
      </c>
      <c r="F5878" s="2">
        <v>0.36350455999999998</v>
      </c>
    </row>
    <row r="5879" spans="1:6" x14ac:dyDescent="0.25">
      <c r="A5879" t="s">
        <v>6</v>
      </c>
      <c r="B5879" s="5" t="str">
        <f>HYPERLINK("http://www.broadinstitute.org/gsea/msigdb/cards/GOBP_INTERNAL_PROTEIN_AMINO_ACID_ACETYLATION.html","GOBP_INTERNAL_PROTEIN_AMINO_ACID_ACETYLATION")</f>
        <v>GOBP_INTERNAL_PROTEIN_AMINO_ACID_ACETYLATION</v>
      </c>
      <c r="C5879" s="4">
        <v>68</v>
      </c>
      <c r="D5879" s="3">
        <v>-1.2495438999999999</v>
      </c>
      <c r="E5879" s="1">
        <v>8.4931510000000002E-2</v>
      </c>
      <c r="F5879" s="2">
        <v>0.3628941</v>
      </c>
    </row>
    <row r="5880" spans="1:6" x14ac:dyDescent="0.25">
      <c r="A5880" t="s">
        <v>8</v>
      </c>
      <c r="B5880" s="5" t="str">
        <f>HYPERLINK("http://www.broadinstitute.org/gsea/msigdb/cards/GOMF_OXYGEN_BINDING.html","GOMF_OXYGEN_BINDING")</f>
        <v>GOMF_OXYGEN_BINDING</v>
      </c>
      <c r="C5880" s="4">
        <v>19</v>
      </c>
      <c r="D5880" s="3">
        <v>-1.2507280000000001</v>
      </c>
      <c r="E5880" s="1">
        <v>0.18594104</v>
      </c>
      <c r="F5880" s="2">
        <v>0.36092534999999998</v>
      </c>
    </row>
    <row r="5881" spans="1:6" x14ac:dyDescent="0.25">
      <c r="A5881" t="s">
        <v>6</v>
      </c>
      <c r="B5881" s="5" t="str">
        <f>HYPERLINK("http://www.broadinstitute.org/gsea/msigdb/cards/GOBP_REGULATION_OF_RESPONSE_TO_EXTRACELLULAR_STIMULUS.html","GOBP_REGULATION_OF_RESPONSE_TO_EXTRACELLULAR_STIMULUS")</f>
        <v>GOBP_REGULATION_OF_RESPONSE_TO_EXTRACELLULAR_STIMULUS</v>
      </c>
      <c r="C5881" s="4">
        <v>36</v>
      </c>
      <c r="D5881" s="3">
        <v>-1.2509794999999999</v>
      </c>
      <c r="E5881" s="1">
        <v>0.15384616000000001</v>
      </c>
      <c r="F5881" s="2">
        <v>0.36090517</v>
      </c>
    </row>
    <row r="5882" spans="1:6" x14ac:dyDescent="0.25">
      <c r="A5882" t="s">
        <v>6</v>
      </c>
      <c r="B5882" s="5" t="str">
        <f>HYPERLINK("http://www.broadinstitute.org/gsea/msigdb/cards/GOBP_SECRETORY_GRANULE_LOCALIZATION.html","GOBP_SECRETORY_GRANULE_LOCALIZATION")</f>
        <v>GOBP_SECRETORY_GRANULE_LOCALIZATION</v>
      </c>
      <c r="C5882" s="4">
        <v>20</v>
      </c>
      <c r="D5882" s="3">
        <v>-1.2519203000000001</v>
      </c>
      <c r="E5882" s="1">
        <v>0.15897436000000001</v>
      </c>
      <c r="F5882" s="2">
        <v>0.35940695</v>
      </c>
    </row>
    <row r="5883" spans="1:6" x14ac:dyDescent="0.25">
      <c r="A5883" t="s">
        <v>6</v>
      </c>
      <c r="B5883" s="5" t="str">
        <f>HYPERLINK("http://www.broadinstitute.org/gsea/msigdb/cards/GOBP_REGULATION_OF_RNA_STABILITY.html","GOBP_REGULATION_OF_RNA_STABILITY")</f>
        <v>GOBP_REGULATION_OF_RNA_STABILITY</v>
      </c>
      <c r="C5883" s="4">
        <v>172</v>
      </c>
      <c r="D5883" s="3">
        <v>-1.2530159999999999</v>
      </c>
      <c r="E5883" s="1">
        <v>3.4375000000000003E-2</v>
      </c>
      <c r="F5883" s="2">
        <v>0.35770383</v>
      </c>
    </row>
    <row r="5884" spans="1:6" x14ac:dyDescent="0.25">
      <c r="A5884" t="s">
        <v>6</v>
      </c>
      <c r="B5884" s="5" t="str">
        <f>HYPERLINK("http://www.broadinstitute.org/gsea/msigdb/cards/GOBP_NUCLEOLAR_LARGE_RRNA_TRANSCRIPTION_BY_RNA_POLYMERASE_I.html","GOBP_NUCLEOLAR_LARGE_RRNA_TRANSCRIPTION_BY_RNA_POLYMERASE_I")</f>
        <v>GOBP_NUCLEOLAR_LARGE_RRNA_TRANSCRIPTION_BY_RNA_POLYMERASE_I</v>
      </c>
      <c r="C5884" s="4">
        <v>22</v>
      </c>
      <c r="D5884" s="3">
        <v>-1.2532558</v>
      </c>
      <c r="E5884" s="1">
        <v>0.15035799</v>
      </c>
      <c r="F5884" s="2">
        <v>0.35768739999999999</v>
      </c>
    </row>
    <row r="5885" spans="1:6" x14ac:dyDescent="0.25">
      <c r="A5885" t="s">
        <v>6</v>
      </c>
      <c r="B5885" s="5" t="str">
        <f>HYPERLINK("http://www.broadinstitute.org/gsea/msigdb/cards/GOBP_TRICARBOXYLIC_ACID_CYCLE.html","GOBP_TRICARBOXYLIC_ACID_CYCLE")</f>
        <v>GOBP_TRICARBOXYLIC_ACID_CYCLE</v>
      </c>
      <c r="C5885" s="4">
        <v>33</v>
      </c>
      <c r="D5885" s="3">
        <v>-1.253349</v>
      </c>
      <c r="E5885" s="1">
        <v>0.13286713</v>
      </c>
      <c r="F5885" s="2">
        <v>0.35797676</v>
      </c>
    </row>
    <row r="5886" spans="1:6" x14ac:dyDescent="0.25">
      <c r="A5886" t="s">
        <v>10</v>
      </c>
      <c r="B5886" s="5" t="str">
        <f>HYPERLINK("http://www.broadinstitute.org/gsea/msigdb/cards/REACTOME_DNA_REPAIR.html","REACTOME_DNA_REPAIR")</f>
        <v>REACTOME_DNA_REPAIR</v>
      </c>
      <c r="C5886" s="4">
        <v>292</v>
      </c>
      <c r="D5886" s="3">
        <v>-1.2535145000000001</v>
      </c>
      <c r="E5886" s="1">
        <v>8.3682010000000005E-3</v>
      </c>
      <c r="F5886" s="2">
        <v>0.35812595000000003</v>
      </c>
    </row>
    <row r="5887" spans="1:6" x14ac:dyDescent="0.25">
      <c r="A5887" t="s">
        <v>6</v>
      </c>
      <c r="B5887" s="5" t="str">
        <f>HYPERLINK("http://www.broadinstitute.org/gsea/msigdb/cards/GOBP_ESTABLISHMENT_OF_MITOCHONDRION_LOCALIZATION.html","GOBP_ESTABLISHMENT_OF_MITOCHONDRION_LOCALIZATION")</f>
        <v>GOBP_ESTABLISHMENT_OF_MITOCHONDRION_LOCALIZATION</v>
      </c>
      <c r="C5887" s="4">
        <v>32</v>
      </c>
      <c r="D5887" s="3">
        <v>-1.253595</v>
      </c>
      <c r="E5887" s="1">
        <v>0.13297871999999999</v>
      </c>
      <c r="F5887" s="2">
        <v>0.35845300000000002</v>
      </c>
    </row>
    <row r="5888" spans="1:6" x14ac:dyDescent="0.25">
      <c r="A5888" t="s">
        <v>6</v>
      </c>
      <c r="B5888" s="5" t="str">
        <f>HYPERLINK("http://www.broadinstitute.org/gsea/msigdb/cards/GOBP_MATURATION_OF_SSU_RRNA_FROM_TRICISTRONIC_RRNA_TRANSCRIPT_SSU_RRNA_5_8S_RRNA_LSU_RRNA.html","GOBP_MATURATION_OF_SSU_RRNA_FROM_TRICISTRONIC_RRNA_TRANSCRIPT_SSU_RRNA_5_8S_RRNA_LSU_RRNA")</f>
        <v>GOBP_MATURATION_OF_SSU_RRNA_FROM_TRICISTRONIC_RRNA_TRANSCRIPT_SSU_RRNA_5_8S_RRNA_LSU_RRNA</v>
      </c>
      <c r="C5888" s="4">
        <v>32</v>
      </c>
      <c r="D5888" s="3">
        <v>-1.2538042</v>
      </c>
      <c r="E5888" s="1">
        <v>0.13184080000000001</v>
      </c>
      <c r="F5888" s="2">
        <v>0.35852715000000002</v>
      </c>
    </row>
    <row r="5889" spans="1:6" x14ac:dyDescent="0.25">
      <c r="A5889" t="s">
        <v>6</v>
      </c>
      <c r="B5889" s="5" t="str">
        <f>HYPERLINK("http://www.broadinstitute.org/gsea/msigdb/cards/GOBP_REGULATION_OF_MITOCHONDRIAL_MEMBRANE_PERMEABILITY_INVOLVED_IN_APOPTOTIC_PROCESS.html","GOBP_REGULATION_OF_MITOCHONDRIAL_MEMBRANE_PERMEABILITY_INVOLVED_IN_APOPTOTIC_PROCESS")</f>
        <v>GOBP_REGULATION_OF_MITOCHONDRIAL_MEMBRANE_PERMEABILITY_INVOLVED_IN_APOPTOTIC_PROCESS</v>
      </c>
      <c r="C5889" s="4">
        <v>43</v>
      </c>
      <c r="D5889" s="3">
        <v>-1.2539960999999999</v>
      </c>
      <c r="E5889" s="1">
        <v>0.116883114</v>
      </c>
      <c r="F5889" s="2">
        <v>0.35859164999999998</v>
      </c>
    </row>
    <row r="5890" spans="1:6" x14ac:dyDescent="0.25">
      <c r="A5890" t="s">
        <v>6</v>
      </c>
      <c r="B5890" s="5" t="str">
        <f>HYPERLINK("http://www.broadinstitute.org/gsea/msigdb/cards/GOBP_NEURAL_TUBE_PATTERNING.html","GOBP_NEURAL_TUBE_PATTERNING")</f>
        <v>GOBP_NEURAL_TUBE_PATTERNING</v>
      </c>
      <c r="C5890" s="4">
        <v>52</v>
      </c>
      <c r="D5890" s="3">
        <v>-1.2540370000000001</v>
      </c>
      <c r="E5890" s="1">
        <v>0.116883114</v>
      </c>
      <c r="F5890" s="2">
        <v>0.35899213000000002</v>
      </c>
    </row>
    <row r="5891" spans="1:6" x14ac:dyDescent="0.25">
      <c r="A5891" t="s">
        <v>6</v>
      </c>
      <c r="B5891" s="5" t="str">
        <f>HYPERLINK("http://www.broadinstitute.org/gsea/msigdb/cards/GOBP_POSITIVE_REGULATION_OF_CALCIUM_ION_DEPENDENT_EXOCYTOSIS.html","GOBP_POSITIVE_REGULATION_OF_CALCIUM_ION_DEPENDENT_EXOCYTOSIS")</f>
        <v>GOBP_POSITIVE_REGULATION_OF_CALCIUM_ION_DEPENDENT_EXOCYTOSIS</v>
      </c>
      <c r="C5891" s="4">
        <v>18</v>
      </c>
      <c r="D5891" s="3">
        <v>-1.2540913</v>
      </c>
      <c r="E5891" s="1">
        <v>0.16666666999999999</v>
      </c>
      <c r="F5891" s="2">
        <v>0.35938323</v>
      </c>
    </row>
    <row r="5892" spans="1:6" x14ac:dyDescent="0.25">
      <c r="A5892" t="s">
        <v>6</v>
      </c>
      <c r="B5892" s="5" t="str">
        <f>HYPERLINK("http://www.broadinstitute.org/gsea/msigdb/cards/GOBP_DNA_RECOMBINATION.html","GOBP_DNA_RECOMBINATION")</f>
        <v>GOBP_DNA_RECOMBINATION</v>
      </c>
      <c r="C5892" s="4">
        <v>323</v>
      </c>
      <c r="D5892" s="3">
        <v>-1.2542047999999999</v>
      </c>
      <c r="E5892" s="1">
        <v>2.6905829999999999E-2</v>
      </c>
      <c r="F5892" s="2">
        <v>0.35964635</v>
      </c>
    </row>
    <row r="5893" spans="1:6" x14ac:dyDescent="0.25">
      <c r="A5893" t="s">
        <v>6</v>
      </c>
      <c r="B5893" s="5" t="str">
        <f>HYPERLINK("http://www.broadinstitute.org/gsea/msigdb/cards/GOBP_COLUMNAR_CUBOIDAL_EPITHELIAL_CELL_DIFFERENTIATION.html","GOBP_COLUMNAR_CUBOIDAL_EPITHELIAL_CELL_DIFFERENTIATION")</f>
        <v>GOBP_COLUMNAR_CUBOIDAL_EPITHELIAL_CELL_DIFFERENTIATION</v>
      </c>
      <c r="C5893" s="4">
        <v>137</v>
      </c>
      <c r="D5893" s="3">
        <v>-1.2543355</v>
      </c>
      <c r="E5893" s="1">
        <v>3.2894738E-2</v>
      </c>
      <c r="F5893" s="2">
        <v>0.35985348</v>
      </c>
    </row>
    <row r="5894" spans="1:6" x14ac:dyDescent="0.25">
      <c r="A5894" t="s">
        <v>6</v>
      </c>
      <c r="B5894" s="5" t="str">
        <f>HYPERLINK("http://www.broadinstitute.org/gsea/msigdb/cards/GOBP_TRNA_METABOLIC_PROCESS.html","GOBP_TRNA_METABOLIC_PROCESS")</f>
        <v>GOBP_TRNA_METABOLIC_PROCESS</v>
      </c>
      <c r="C5894" s="4">
        <v>179</v>
      </c>
      <c r="D5894" s="3">
        <v>-1.2546735</v>
      </c>
      <c r="E5894" s="1">
        <v>3.1645569999999998E-2</v>
      </c>
      <c r="F5894" s="2">
        <v>0.35968517999999999</v>
      </c>
    </row>
    <row r="5895" spans="1:6" x14ac:dyDescent="0.25">
      <c r="A5895" t="s">
        <v>6</v>
      </c>
      <c r="B5895" s="5" t="str">
        <f>HYPERLINK("http://www.broadinstitute.org/gsea/msigdb/cards/GOBP_G1_TO_G0_TRANSITION.html","GOBP_G1_TO_G0_TRANSITION")</f>
        <v>GOBP_G1_TO_G0_TRANSITION</v>
      </c>
      <c r="C5895" s="4">
        <v>17</v>
      </c>
      <c r="D5895" s="3">
        <v>-1.2546771999999999</v>
      </c>
      <c r="E5895" s="1">
        <v>0.14523810000000001</v>
      </c>
      <c r="F5895" s="2">
        <v>0.36016559999999997</v>
      </c>
    </row>
    <row r="5896" spans="1:6" x14ac:dyDescent="0.25">
      <c r="A5896" t="s">
        <v>8</v>
      </c>
      <c r="B5896" s="5" t="str">
        <f>HYPERLINK("http://www.broadinstitute.org/gsea/msigdb/cards/GOMF_MRNA_3_UTR_BINDING.html","GOMF_MRNA_3_UTR_BINDING")</f>
        <v>GOMF_MRNA_3_UTR_BINDING</v>
      </c>
      <c r="C5896" s="4">
        <v>103</v>
      </c>
      <c r="D5896" s="3">
        <v>-1.254721</v>
      </c>
      <c r="E5896" s="1">
        <v>7.0552149999999994E-2</v>
      </c>
      <c r="F5896" s="2">
        <v>0.36055886999999998</v>
      </c>
    </row>
    <row r="5897" spans="1:6" x14ac:dyDescent="0.25">
      <c r="A5897" t="s">
        <v>6</v>
      </c>
      <c r="B5897" s="5" t="str">
        <f>HYPERLINK("http://www.broadinstitute.org/gsea/msigdb/cards/GOBP_POSITIVE_REGULATION_OF_DOUBLE_STRAND_BREAK_REPAIR_VIA_HOMOLOGOUS_RECOMBINATION.html","GOBP_POSITIVE_REGULATION_OF_DOUBLE_STRAND_BREAK_REPAIR_VIA_HOMOLOGOUS_RECOMBINATION")</f>
        <v>GOBP_POSITIVE_REGULATION_OF_DOUBLE_STRAND_BREAK_REPAIR_VIA_HOMOLOGOUS_RECOMBINATION</v>
      </c>
      <c r="C5897" s="4">
        <v>37</v>
      </c>
      <c r="D5897" s="3">
        <v>-1.2552985999999999</v>
      </c>
      <c r="E5897" s="1">
        <v>0.12718204999999999</v>
      </c>
      <c r="F5897" s="2">
        <v>0.35983791999999998</v>
      </c>
    </row>
    <row r="5898" spans="1:6" x14ac:dyDescent="0.25">
      <c r="A5898" t="s">
        <v>10</v>
      </c>
      <c r="B5898" s="5" t="str">
        <f>HYPERLINK("http://www.broadinstitute.org/gsea/msigdb/cards/REACTOME_ABC_FAMILY_PROTEINS_MEDIATED_TRANSPORT.html","REACTOME_ABC_FAMILY_PROTEINS_MEDIATED_TRANSPORT")</f>
        <v>REACTOME_ABC_FAMILY_PROTEINS_MEDIATED_TRANSPORT</v>
      </c>
      <c r="C5898" s="4">
        <v>99</v>
      </c>
      <c r="D5898" s="3">
        <v>-1.2567938999999999</v>
      </c>
      <c r="E5898" s="1">
        <v>7.8787880000000005E-2</v>
      </c>
      <c r="F5898" s="2">
        <v>0.35730817999999998</v>
      </c>
    </row>
    <row r="5899" spans="1:6" x14ac:dyDescent="0.25">
      <c r="A5899" t="s">
        <v>6</v>
      </c>
      <c r="B5899" s="5" t="str">
        <f>HYPERLINK("http://www.broadinstitute.org/gsea/msigdb/cards/GOBP_PROTEIN_K48_LINKED_DEUBIQUITINATION.html","GOBP_PROTEIN_K48_LINKED_DEUBIQUITINATION")</f>
        <v>GOBP_PROTEIN_K48_LINKED_DEUBIQUITINATION</v>
      </c>
      <c r="C5899" s="4">
        <v>29</v>
      </c>
      <c r="D5899" s="3">
        <v>-1.2568083999999999</v>
      </c>
      <c r="E5899" s="1">
        <v>0.15311004</v>
      </c>
      <c r="F5899" s="2">
        <v>0.35777252999999998</v>
      </c>
    </row>
    <row r="5900" spans="1:6" x14ac:dyDescent="0.25">
      <c r="A5900" t="s">
        <v>6</v>
      </c>
      <c r="B5900" s="5" t="str">
        <f>HYPERLINK("http://www.broadinstitute.org/gsea/msigdb/cards/GOBP_MACROMOLECULE_METHYLATION.html","GOBP_MACROMOLECULE_METHYLATION")</f>
        <v>GOBP_MACROMOLECULE_METHYLATION</v>
      </c>
      <c r="C5900" s="4">
        <v>208</v>
      </c>
      <c r="D5900" s="3">
        <v>-1.2576061000000001</v>
      </c>
      <c r="E5900" s="1">
        <v>3.7671233999999998E-2</v>
      </c>
      <c r="F5900" s="2">
        <v>0.35664984999999999</v>
      </c>
    </row>
    <row r="5901" spans="1:6" x14ac:dyDescent="0.25">
      <c r="A5901" t="s">
        <v>8</v>
      </c>
      <c r="B5901" s="5" t="str">
        <f>HYPERLINK("http://www.broadinstitute.org/gsea/msigdb/cards/GOMF_METAL_CLUSTER_BINDING.html","GOMF_METAL_CLUSTER_BINDING")</f>
        <v>GOMF_METAL_CLUSTER_BINDING</v>
      </c>
      <c r="C5901" s="4">
        <v>68</v>
      </c>
      <c r="D5901" s="3">
        <v>-1.2576715999999999</v>
      </c>
      <c r="E5901" s="1">
        <v>0.10539846</v>
      </c>
      <c r="F5901" s="2">
        <v>0.35700231999999998</v>
      </c>
    </row>
    <row r="5902" spans="1:6" x14ac:dyDescent="0.25">
      <c r="A5902" t="s">
        <v>8</v>
      </c>
      <c r="B5902" s="5" t="str">
        <f>HYPERLINK("http://www.broadinstitute.org/gsea/msigdb/cards/GOMF_UBIQUITIN_PROTEIN_TRANSFERASE_REGULATOR_ACTIVITY.html","GOMF_UBIQUITIN_PROTEIN_TRANSFERASE_REGULATOR_ACTIVITY")</f>
        <v>GOMF_UBIQUITIN_PROTEIN_TRANSFERASE_REGULATOR_ACTIVITY</v>
      </c>
      <c r="C5902" s="4">
        <v>29</v>
      </c>
      <c r="D5902" s="3">
        <v>-1.2583215999999999</v>
      </c>
      <c r="E5902" s="1">
        <v>0.15223097999999999</v>
      </c>
      <c r="F5902" s="2">
        <v>0.35616332000000001</v>
      </c>
    </row>
    <row r="5903" spans="1:6" x14ac:dyDescent="0.25">
      <c r="A5903" t="s">
        <v>10</v>
      </c>
      <c r="B5903" s="5" t="str">
        <f>HYPERLINK("http://www.broadinstitute.org/gsea/msigdb/cards/REACTOME_KEAP1_NFE2L2_PATHWAY.html","REACTOME_KEAP1_NFE2L2_PATHWAY")</f>
        <v>REACTOME_KEAP1_NFE2L2_PATHWAY</v>
      </c>
      <c r="C5903" s="4">
        <v>77</v>
      </c>
      <c r="D5903" s="3">
        <v>-1.2587588999999999</v>
      </c>
      <c r="E5903" s="1">
        <v>8.6111110000000005E-2</v>
      </c>
      <c r="F5903" s="2">
        <v>0.35572532000000001</v>
      </c>
    </row>
    <row r="5904" spans="1:6" x14ac:dyDescent="0.25">
      <c r="A5904" t="s">
        <v>6</v>
      </c>
      <c r="B5904" s="5" t="str">
        <f>HYPERLINK("http://www.broadinstitute.org/gsea/msigdb/cards/GOBP_NEGATIVE_REGULATION_OF_CANONICAL_WNT_SIGNALING_PATHWAY.html","GOBP_NEGATIVE_REGULATION_OF_CANONICAL_WNT_SIGNALING_PATHWAY")</f>
        <v>GOBP_NEGATIVE_REGULATION_OF_CANONICAL_WNT_SIGNALING_PATHWAY</v>
      </c>
      <c r="C5904" s="4">
        <v>134</v>
      </c>
      <c r="D5904" s="3">
        <v>-1.2590276</v>
      </c>
      <c r="E5904" s="1">
        <v>6.8322980000000005E-2</v>
      </c>
      <c r="F5904" s="2">
        <v>0.3556684</v>
      </c>
    </row>
    <row r="5905" spans="1:6" x14ac:dyDescent="0.25">
      <c r="A5905" t="s">
        <v>6</v>
      </c>
      <c r="B5905" s="5" t="str">
        <f>HYPERLINK("http://www.broadinstitute.org/gsea/msigdb/cards/GOBP_PYRIMIDINE_CONTAINING_COMPOUND_TRANSMEMBRANE_TRANSPORT.html","GOBP_PYRIMIDINE_CONTAINING_COMPOUND_TRANSMEMBRANE_TRANSPORT")</f>
        <v>GOBP_PYRIMIDINE_CONTAINING_COMPOUND_TRANSMEMBRANE_TRANSPORT</v>
      </c>
      <c r="C5905" s="4">
        <v>15</v>
      </c>
      <c r="D5905" s="3">
        <v>-1.2593677000000001</v>
      </c>
      <c r="E5905" s="1">
        <v>0.17839195999999999</v>
      </c>
      <c r="F5905" s="2">
        <v>0.35545892000000001</v>
      </c>
    </row>
    <row r="5906" spans="1:6" x14ac:dyDescent="0.25">
      <c r="A5906" t="s">
        <v>7</v>
      </c>
      <c r="B5906" s="5" t="str">
        <f>HYPERLINK("http://www.broadinstitute.org/gsea/msigdb/cards/GOCC_CELL_BODY_MEMBRANE.html","GOCC_CELL_BODY_MEMBRANE")</f>
        <v>GOCC_CELL_BODY_MEMBRANE</v>
      </c>
      <c r="C5906" s="4">
        <v>39</v>
      </c>
      <c r="D5906" s="3">
        <v>-1.2598954</v>
      </c>
      <c r="E5906" s="1">
        <v>0.12149533</v>
      </c>
      <c r="F5906" s="2">
        <v>0.35487871999999998</v>
      </c>
    </row>
    <row r="5907" spans="1:6" x14ac:dyDescent="0.25">
      <c r="A5907" t="s">
        <v>5</v>
      </c>
      <c r="B5907" s="5" t="str">
        <f>HYPERLINK("http://www.broadinstitute.org/gsea/msigdb/cards/BIOCARTA_MPR_PATHWAY.html","BIOCARTA_MPR_PATHWAY")</f>
        <v>BIOCARTA_MPR_PATHWAY</v>
      </c>
      <c r="C5907" s="4">
        <v>18</v>
      </c>
      <c r="D5907" s="3">
        <v>-1.2600079</v>
      </c>
      <c r="E5907" s="1">
        <v>0.15529412000000001</v>
      </c>
      <c r="F5907" s="2">
        <v>0.35514578000000002</v>
      </c>
    </row>
    <row r="5908" spans="1:6" x14ac:dyDescent="0.25">
      <c r="A5908" t="s">
        <v>6</v>
      </c>
      <c r="B5908" s="5" t="str">
        <f>HYPERLINK("http://www.broadinstitute.org/gsea/msigdb/cards/GOBP_NEUROMUSCULAR_SYNAPTIC_TRANSMISSION.html","GOBP_NEUROMUSCULAR_SYNAPTIC_TRANSMISSION")</f>
        <v>GOBP_NEUROMUSCULAR_SYNAPTIC_TRANSMISSION</v>
      </c>
      <c r="C5908" s="4">
        <v>33</v>
      </c>
      <c r="D5908" s="3">
        <v>-1.2602800999999999</v>
      </c>
      <c r="E5908" s="1">
        <v>0.14975846000000001</v>
      </c>
      <c r="F5908" s="2">
        <v>0.35506450000000001</v>
      </c>
    </row>
    <row r="5909" spans="1:6" x14ac:dyDescent="0.25">
      <c r="A5909" t="s">
        <v>11</v>
      </c>
      <c r="B5909" s="5" t="str">
        <f>HYPERLINK("http://www.broadinstitute.org/gsea/msigdb/cards/WP_TCA_CYCLE.html","WP_TCA_CYCLE")</f>
        <v>WP_TCA_CYCLE</v>
      </c>
      <c r="C5909" s="4">
        <v>30</v>
      </c>
      <c r="D5909" s="3">
        <v>-1.2610836999999999</v>
      </c>
      <c r="E5909" s="1">
        <v>0.14698794000000001</v>
      </c>
      <c r="F5909" s="2">
        <v>0.35396633</v>
      </c>
    </row>
    <row r="5910" spans="1:6" x14ac:dyDescent="0.25">
      <c r="A5910" t="s">
        <v>10</v>
      </c>
      <c r="B5910" s="5" t="str">
        <f>HYPERLINK("http://www.broadinstitute.org/gsea/msigdb/cards/REACTOME_INSULIN_RECEPTOR_RECYCLING.html","REACTOME_INSULIN_RECEPTOR_RECYCLING")</f>
        <v>REACTOME_INSULIN_RECEPTOR_RECYCLING</v>
      </c>
      <c r="C5910" s="4">
        <v>28</v>
      </c>
      <c r="D5910" s="3">
        <v>-1.2615689000000001</v>
      </c>
      <c r="E5910" s="1">
        <v>0.14361702000000001</v>
      </c>
      <c r="F5910" s="2">
        <v>0.35353646</v>
      </c>
    </row>
    <row r="5911" spans="1:6" x14ac:dyDescent="0.25">
      <c r="A5911" t="s">
        <v>6</v>
      </c>
      <c r="B5911" s="5" t="str">
        <f>HYPERLINK("http://www.broadinstitute.org/gsea/msigdb/cards/GOBP_POSITIVE_REGULATION_OF_CELL_CYCLE_CHECKPOINT.html","GOBP_POSITIVE_REGULATION_OF_CELL_CYCLE_CHECKPOINT")</f>
        <v>GOBP_POSITIVE_REGULATION_OF_CELL_CYCLE_CHECKPOINT</v>
      </c>
      <c r="C5911" s="4">
        <v>15</v>
      </c>
      <c r="D5911" s="3">
        <v>-1.2616498</v>
      </c>
      <c r="E5911" s="1">
        <v>0.15827337999999999</v>
      </c>
      <c r="F5911" s="2">
        <v>0.35387777999999998</v>
      </c>
    </row>
    <row r="5912" spans="1:6" x14ac:dyDescent="0.25">
      <c r="A5912" t="s">
        <v>9</v>
      </c>
      <c r="B5912" s="5" t="str">
        <f>HYPERLINK("http://www.broadinstitute.org/gsea/msigdb/cards/HALLMARK_MYC_TARGETS_V2.html","HALLMARK_MYC_TARGETS_V2")</f>
        <v>HALLMARK_MYC_TARGETS_V2</v>
      </c>
      <c r="C5912" s="4">
        <v>58</v>
      </c>
      <c r="D5912" s="3">
        <v>-1.2617693999999999</v>
      </c>
      <c r="E5912" s="1">
        <v>0.1125</v>
      </c>
      <c r="F5912" s="2">
        <v>0.35415116000000002</v>
      </c>
    </row>
    <row r="5913" spans="1:6" x14ac:dyDescent="0.25">
      <c r="A5913" t="s">
        <v>8</v>
      </c>
      <c r="B5913" s="5" t="str">
        <f>HYPERLINK("http://www.broadinstitute.org/gsea/msigdb/cards/GOMF_SEQUENCE_SPECIFIC_SINGLE_STRANDED_DNA_BINDING.html","GOMF_SEQUENCE_SPECIFIC_SINGLE_STRANDED_DNA_BINDING")</f>
        <v>GOMF_SEQUENCE_SPECIFIC_SINGLE_STRANDED_DNA_BINDING</v>
      </c>
      <c r="C5913" s="4">
        <v>15</v>
      </c>
      <c r="D5913" s="3">
        <v>-1.262945</v>
      </c>
      <c r="E5913" s="1">
        <v>0.16473317000000001</v>
      </c>
      <c r="F5913" s="2">
        <v>0.35228693</v>
      </c>
    </row>
    <row r="5914" spans="1:6" x14ac:dyDescent="0.25">
      <c r="A5914" t="s">
        <v>6</v>
      </c>
      <c r="B5914" s="5" t="str">
        <f>HYPERLINK("http://www.broadinstitute.org/gsea/msigdb/cards/GOBP_NEGATIVE_REGULATION_OF_INTRACELLULAR_TRANSPORT.html","GOBP_NEGATIVE_REGULATION_OF_INTRACELLULAR_TRANSPORT")</f>
        <v>GOBP_NEGATIVE_REGULATION_OF_INTRACELLULAR_TRANSPORT</v>
      </c>
      <c r="C5914" s="4">
        <v>67</v>
      </c>
      <c r="D5914" s="3">
        <v>-1.2630181</v>
      </c>
      <c r="E5914" s="1">
        <v>9.1623040000000003E-2</v>
      </c>
      <c r="F5914" s="2">
        <v>0.35262202999999998</v>
      </c>
    </row>
    <row r="5915" spans="1:6" x14ac:dyDescent="0.25">
      <c r="A5915" t="s">
        <v>6</v>
      </c>
      <c r="B5915" s="5" t="str">
        <f>HYPERLINK("http://www.broadinstitute.org/gsea/msigdb/cards/GOBP_MATURATION_OF_5_8S_RRNA_FROM_TRICISTRONIC_RRNA_TRANSCRIPT_SSU_RRNA_5_8S_RRNA_LSU_RRNA.html","GOBP_MATURATION_OF_5_8S_RRNA_FROM_TRICISTRONIC_RRNA_TRANSCRIPT_SSU_RRNA_5_8S_RRNA_LSU_RRNA")</f>
        <v>GOBP_MATURATION_OF_5_8S_RRNA_FROM_TRICISTRONIC_RRNA_TRANSCRIPT_SSU_RRNA_5_8S_RRNA_LSU_RRNA</v>
      </c>
      <c r="C5915" s="4">
        <v>24</v>
      </c>
      <c r="D5915" s="3">
        <v>-1.2637195999999999</v>
      </c>
      <c r="E5915" s="1">
        <v>0.14893617000000001</v>
      </c>
      <c r="F5915" s="2">
        <v>0.35166985000000001</v>
      </c>
    </row>
    <row r="5916" spans="1:6" x14ac:dyDescent="0.25">
      <c r="A5916" t="s">
        <v>7</v>
      </c>
      <c r="B5916" s="5" t="str">
        <f>HYPERLINK("http://www.broadinstitute.org/gsea/msigdb/cards/GOCC_ENDOPEPTIDASE_COMPLEX.html","GOCC_ENDOPEPTIDASE_COMPLEX")</f>
        <v>GOCC_ENDOPEPTIDASE_COMPLEX</v>
      </c>
      <c r="C5916" s="4">
        <v>83</v>
      </c>
      <c r="D5916" s="3">
        <v>-1.2638285</v>
      </c>
      <c r="E5916" s="1">
        <v>8.6956519999999995E-2</v>
      </c>
      <c r="F5916" s="2">
        <v>0.35193913999999998</v>
      </c>
    </row>
    <row r="5917" spans="1:6" x14ac:dyDescent="0.25">
      <c r="A5917" t="s">
        <v>7</v>
      </c>
      <c r="B5917" s="5" t="str">
        <f>HYPERLINK("http://www.broadinstitute.org/gsea/msigdb/cards/GOCC_CHOLINERGIC_SYNAPSE.html","GOCC_CHOLINERGIC_SYNAPSE")</f>
        <v>GOCC_CHOLINERGIC_SYNAPSE</v>
      </c>
      <c r="C5917" s="4">
        <v>19</v>
      </c>
      <c r="D5917" s="3">
        <v>-1.26431</v>
      </c>
      <c r="E5917" s="1">
        <v>0.13519813</v>
      </c>
      <c r="F5917" s="2">
        <v>0.35151035000000003</v>
      </c>
    </row>
    <row r="5918" spans="1:6" x14ac:dyDescent="0.25">
      <c r="A5918" t="s">
        <v>5</v>
      </c>
      <c r="B5918" s="5" t="str">
        <f>HYPERLINK("http://www.broadinstitute.org/gsea/msigdb/cards/BIOCARTA_PITX2_PATHWAY.html","BIOCARTA_PITX2_PATHWAY")</f>
        <v>BIOCARTA_PITX2_PATHWAY</v>
      </c>
      <c r="C5918" s="4">
        <v>15</v>
      </c>
      <c r="D5918" s="3">
        <v>-1.264356</v>
      </c>
      <c r="E5918" s="1">
        <v>0.19399538999999999</v>
      </c>
      <c r="F5918" s="2">
        <v>0.35191557000000001</v>
      </c>
    </row>
    <row r="5919" spans="1:6" x14ac:dyDescent="0.25">
      <c r="A5919" t="s">
        <v>6</v>
      </c>
      <c r="B5919" s="5" t="str">
        <f>HYPERLINK("http://www.broadinstitute.org/gsea/msigdb/cards/GOBP_DENTATE_GYRUS_DEVELOPMENT.html","GOBP_DENTATE_GYRUS_DEVELOPMENT")</f>
        <v>GOBP_DENTATE_GYRUS_DEVELOPMENT</v>
      </c>
      <c r="C5919" s="4">
        <v>27</v>
      </c>
      <c r="D5919" s="3">
        <v>-1.2645512000000001</v>
      </c>
      <c r="E5919" s="1">
        <v>0.13658537000000001</v>
      </c>
      <c r="F5919" s="2">
        <v>0.35201339999999998</v>
      </c>
    </row>
    <row r="5920" spans="1:6" x14ac:dyDescent="0.25">
      <c r="A5920" t="s">
        <v>6</v>
      </c>
      <c r="B5920" s="5" t="str">
        <f>HYPERLINK("http://www.broadinstitute.org/gsea/msigdb/cards/GOBP_RECOMBINATIONAL_REPAIR.html","GOBP_RECOMBINATIONAL_REPAIR")</f>
        <v>GOBP_RECOMBINATIONAL_REPAIR</v>
      </c>
      <c r="C5920" s="4">
        <v>168</v>
      </c>
      <c r="D5920" s="3">
        <v>-1.2647717000000001</v>
      </c>
      <c r="E5920" s="1">
        <v>3.5369775999999999E-2</v>
      </c>
      <c r="F5920" s="2">
        <v>0.35208666</v>
      </c>
    </row>
    <row r="5921" spans="1:6" x14ac:dyDescent="0.25">
      <c r="A5921" t="s">
        <v>10</v>
      </c>
      <c r="B5921" s="5" t="str">
        <f>HYPERLINK("http://www.broadinstitute.org/gsea/msigdb/cards/REACTOME_HEDGEHOG_ON_STATE.html","REACTOME_HEDGEHOG_ON_STATE")</f>
        <v>REACTOME_HEDGEHOG_ON_STATE</v>
      </c>
      <c r="C5921" s="4">
        <v>81</v>
      </c>
      <c r="D5921" s="3">
        <v>-1.2653536999999999</v>
      </c>
      <c r="E5921" s="1">
        <v>8.5798815E-2</v>
      </c>
      <c r="F5921" s="2">
        <v>0.35135319999999998</v>
      </c>
    </row>
    <row r="5922" spans="1:6" x14ac:dyDescent="0.25">
      <c r="A5922" t="s">
        <v>8</v>
      </c>
      <c r="B5922" s="5" t="str">
        <f>HYPERLINK("http://www.broadinstitute.org/gsea/msigdb/cards/GOMF_UNFOLDED_PROTEIN_BINDING.html","GOMF_UNFOLDED_PROTEIN_BINDING")</f>
        <v>GOMF_UNFOLDED_PROTEIN_BINDING</v>
      </c>
      <c r="C5922" s="4">
        <v>84</v>
      </c>
      <c r="D5922" s="3">
        <v>-1.2674664</v>
      </c>
      <c r="E5922" s="1">
        <v>7.0175440000000006E-2</v>
      </c>
      <c r="F5922" s="2">
        <v>0.34767753000000001</v>
      </c>
    </row>
    <row r="5923" spans="1:6" x14ac:dyDescent="0.25">
      <c r="A5923" t="s">
        <v>8</v>
      </c>
      <c r="B5923" s="5" t="str">
        <f>HYPERLINK("http://www.broadinstitute.org/gsea/msigdb/cards/GOMF_QUATERNARY_AMMONIUM_GROUP_BINDING.html","GOMF_QUATERNARY_AMMONIUM_GROUP_BINDING")</f>
        <v>GOMF_QUATERNARY_AMMONIUM_GROUP_BINDING</v>
      </c>
      <c r="C5923" s="4">
        <v>52</v>
      </c>
      <c r="D5923" s="3">
        <v>-1.2688136000000001</v>
      </c>
      <c r="E5923" s="1">
        <v>0.117048346</v>
      </c>
      <c r="F5923" s="2">
        <v>0.34555712</v>
      </c>
    </row>
    <row r="5924" spans="1:6" x14ac:dyDescent="0.25">
      <c r="A5924" t="s">
        <v>10</v>
      </c>
      <c r="B5924" s="5" t="str">
        <f>HYPERLINK("http://www.broadinstitute.org/gsea/msigdb/cards/REACTOME_RECYCLING_OF_BILE_ACIDS_AND_SALTS.html","REACTOME_RECYCLING_OF_BILE_ACIDS_AND_SALTS")</f>
        <v>REACTOME_RECYCLING_OF_BILE_ACIDS_AND_SALTS</v>
      </c>
      <c r="C5924" s="4">
        <v>16</v>
      </c>
      <c r="D5924" s="3">
        <v>-1.2688385</v>
      </c>
      <c r="E5924" s="1">
        <v>0.16745283</v>
      </c>
      <c r="F5924" s="2">
        <v>0.34599897000000002</v>
      </c>
    </row>
    <row r="5925" spans="1:6" x14ac:dyDescent="0.25">
      <c r="A5925" t="s">
        <v>11</v>
      </c>
      <c r="B5925" s="5" t="str">
        <f>HYPERLINK("http://www.broadinstitute.org/gsea/msigdb/cards/WP_SIDS_SUSCEPTIBILITY_PATHWAYS.html","WP_SIDS_SUSCEPTIBILITY_PATHWAYS")</f>
        <v>WP_SIDS_SUSCEPTIBILITY_PATHWAYS</v>
      </c>
      <c r="C5925" s="4">
        <v>58</v>
      </c>
      <c r="D5925" s="3">
        <v>-1.2705740999999999</v>
      </c>
      <c r="E5925" s="1">
        <v>7.8034684000000007E-2</v>
      </c>
      <c r="F5925" s="2">
        <v>0.34302837000000003</v>
      </c>
    </row>
    <row r="5926" spans="1:6" x14ac:dyDescent="0.25">
      <c r="A5926" t="s">
        <v>6</v>
      </c>
      <c r="B5926" s="5" t="str">
        <f>HYPERLINK("http://www.broadinstitute.org/gsea/msigdb/cards/GOBP_RNA_SURVEILLANCE.html","GOBP_RNA_SURVEILLANCE")</f>
        <v>GOBP_RNA_SURVEILLANCE</v>
      </c>
      <c r="C5926" s="4">
        <v>16</v>
      </c>
      <c r="D5926" s="3">
        <v>-1.2707533</v>
      </c>
      <c r="E5926" s="1">
        <v>0.16953315999999999</v>
      </c>
      <c r="F5926" s="2">
        <v>0.34318349999999997</v>
      </c>
    </row>
    <row r="5927" spans="1:6" x14ac:dyDescent="0.25">
      <c r="A5927" t="s">
        <v>6</v>
      </c>
      <c r="B5927" s="5" t="str">
        <f>HYPERLINK("http://www.broadinstitute.org/gsea/msigdb/cards/GOBP_SMOOTH_MUSCLE_TISSUE_DEVELOPMENT.html","GOBP_SMOOTH_MUSCLE_TISSUE_DEVELOPMENT")</f>
        <v>GOBP_SMOOTH_MUSCLE_TISSUE_DEVELOPMENT</v>
      </c>
      <c r="C5927" s="4">
        <v>28</v>
      </c>
      <c r="D5927" s="3">
        <v>-1.2710254999999999</v>
      </c>
      <c r="E5927" s="1">
        <v>0.14603959999999999</v>
      </c>
      <c r="F5927" s="2">
        <v>0.34314865</v>
      </c>
    </row>
    <row r="5928" spans="1:6" x14ac:dyDescent="0.25">
      <c r="A5928" t="s">
        <v>6</v>
      </c>
      <c r="B5928" s="5" t="str">
        <f>HYPERLINK("http://www.broadinstitute.org/gsea/msigdb/cards/GOBP_POSITIVE_REGULATION_OF_SYNAPTIC_TRANSMISSION_GABAERGIC.html","GOBP_POSITIVE_REGULATION_OF_SYNAPTIC_TRANSMISSION_GABAERGIC")</f>
        <v>GOBP_POSITIVE_REGULATION_OF_SYNAPTIC_TRANSMISSION_GABAERGIC</v>
      </c>
      <c r="C5928" s="4">
        <v>20</v>
      </c>
      <c r="D5928" s="3">
        <v>-1.27125</v>
      </c>
      <c r="E5928" s="1">
        <v>0.15404040999999999</v>
      </c>
      <c r="F5928" s="2">
        <v>0.34321854000000002</v>
      </c>
    </row>
    <row r="5929" spans="1:6" x14ac:dyDescent="0.25">
      <c r="A5929" t="s">
        <v>8</v>
      </c>
      <c r="B5929" s="5" t="str">
        <f>HYPERLINK("http://www.broadinstitute.org/gsea/msigdb/cards/GOMF_TRNA_SPECIFIC_RIBONUCLEASE_ACTIVITY.html","GOMF_TRNA_SPECIFIC_RIBONUCLEASE_ACTIVITY")</f>
        <v>GOMF_TRNA_SPECIFIC_RIBONUCLEASE_ACTIVITY</v>
      </c>
      <c r="C5929" s="4">
        <v>15</v>
      </c>
      <c r="D5929" s="3">
        <v>-1.2713819</v>
      </c>
      <c r="E5929" s="1">
        <v>0.18936169999999999</v>
      </c>
      <c r="F5929" s="2">
        <v>0.34348476</v>
      </c>
    </row>
    <row r="5930" spans="1:6" x14ac:dyDescent="0.25">
      <c r="A5930" t="s">
        <v>6</v>
      </c>
      <c r="B5930" s="5" t="str">
        <f>HYPERLINK("http://www.broadinstitute.org/gsea/msigdb/cards/GOBP_POSITIVE_REGULATION_OF_DNA_METABOLIC_PROCESS.html","GOBP_POSITIVE_REGULATION_OF_DNA_METABOLIC_PROCESS")</f>
        <v>GOBP_POSITIVE_REGULATION_OF_DNA_METABOLIC_PROCESS</v>
      </c>
      <c r="C5930" s="4">
        <v>314</v>
      </c>
      <c r="D5930" s="3">
        <v>-1.2722912</v>
      </c>
      <c r="E5930" s="1">
        <v>2.0408163E-2</v>
      </c>
      <c r="F5930" s="2">
        <v>0.34218228000000001</v>
      </c>
    </row>
    <row r="5931" spans="1:6" x14ac:dyDescent="0.25">
      <c r="A5931" t="s">
        <v>8</v>
      </c>
      <c r="B5931" s="5" t="str">
        <f>HYPERLINK("http://www.broadinstitute.org/gsea/msigdb/cards/GOMF_CYCLIN_DEPENDENT_PROTEIN_SERINE_THREONINE_KINASE_ACTIVATOR_ACTIVITY.html","GOMF_CYCLIN_DEPENDENT_PROTEIN_SERINE_THREONINE_KINASE_ACTIVATOR_ACTIVITY")</f>
        <v>GOMF_CYCLIN_DEPENDENT_PROTEIN_SERINE_THREONINE_KINASE_ACTIVATOR_ACTIVITY</v>
      </c>
      <c r="C5931" s="4">
        <v>15</v>
      </c>
      <c r="D5931" s="3">
        <v>-1.2723632</v>
      </c>
      <c r="E5931" s="1">
        <v>0.16930023</v>
      </c>
      <c r="F5931" s="2">
        <v>0.34253929999999999</v>
      </c>
    </row>
    <row r="5932" spans="1:6" x14ac:dyDescent="0.25">
      <c r="A5932" t="s">
        <v>6</v>
      </c>
      <c r="B5932" s="5" t="str">
        <f>HYPERLINK("http://www.broadinstitute.org/gsea/msigdb/cards/GOBP_REGULATION_OF_DNA_REPLICATION.html","GOBP_REGULATION_OF_DNA_REPLICATION")</f>
        <v>GOBP_REGULATION_OF_DNA_REPLICATION</v>
      </c>
      <c r="C5932" s="4">
        <v>122</v>
      </c>
      <c r="D5932" s="3">
        <v>-1.2724614000000001</v>
      </c>
      <c r="E5932" s="1">
        <v>6.3444109999999998E-2</v>
      </c>
      <c r="F5932" s="2">
        <v>0.34284263999999998</v>
      </c>
    </row>
    <row r="5933" spans="1:6" x14ac:dyDescent="0.25">
      <c r="A5933" t="s">
        <v>6</v>
      </c>
      <c r="B5933" s="5" t="str">
        <f>HYPERLINK("http://www.broadinstitute.org/gsea/msigdb/cards/GOBP_DNA_TEMPLATED_TRANSCRIPTION_ELONGATION.html","GOBP_DNA_TEMPLATED_TRANSCRIPTION_ELONGATION")</f>
        <v>GOBP_DNA_TEMPLATED_TRANSCRIPTION_ELONGATION</v>
      </c>
      <c r="C5933" s="4">
        <v>114</v>
      </c>
      <c r="D5933" s="3">
        <v>-1.2726454</v>
      </c>
      <c r="E5933" s="1">
        <v>4.9535601999999998E-2</v>
      </c>
      <c r="F5933" s="2">
        <v>0.34297886</v>
      </c>
    </row>
    <row r="5934" spans="1:6" x14ac:dyDescent="0.25">
      <c r="A5934" t="s">
        <v>6</v>
      </c>
      <c r="B5934" s="5" t="str">
        <f>HYPERLINK("http://www.broadinstitute.org/gsea/msigdb/cards/GOBP_REGULATION_OF_CELL_FATE_SPECIFICATION.html","GOBP_REGULATION_OF_CELL_FATE_SPECIFICATION")</f>
        <v>GOBP_REGULATION_OF_CELL_FATE_SPECIFICATION</v>
      </c>
      <c r="C5934" s="4">
        <v>29</v>
      </c>
      <c r="D5934" s="3">
        <v>-1.2731245</v>
      </c>
      <c r="E5934" s="1">
        <v>0.12592592999999999</v>
      </c>
      <c r="F5934" s="2">
        <v>0.34252422999999999</v>
      </c>
    </row>
    <row r="5935" spans="1:6" x14ac:dyDescent="0.25">
      <c r="A5935" t="s">
        <v>8</v>
      </c>
      <c r="B5935" s="5" t="str">
        <f>HYPERLINK("http://www.broadinstitute.org/gsea/msigdb/cards/GOMF_ATP_DEPENDENT_ACTIVITY_ACTING_ON_DNA.html","GOMF_ATP_DEPENDENT_ACTIVITY_ACTING_ON_DNA")</f>
        <v>GOMF_ATP_DEPENDENT_ACTIVITY_ACTING_ON_DNA</v>
      </c>
      <c r="C5935" s="4">
        <v>114</v>
      </c>
      <c r="D5935" s="3">
        <v>-1.2731950000000001</v>
      </c>
      <c r="E5935" s="1">
        <v>3.6036037E-2</v>
      </c>
      <c r="F5935" s="2">
        <v>0.34287909999999999</v>
      </c>
    </row>
    <row r="5936" spans="1:6" x14ac:dyDescent="0.25">
      <c r="A5936" t="s">
        <v>8</v>
      </c>
      <c r="B5936" s="5" t="str">
        <f>HYPERLINK("http://www.broadinstitute.org/gsea/msigdb/cards/GOMF_METHYL_CPG_BINDING.html","GOMF_METHYL_CPG_BINDING")</f>
        <v>GOMF_METHYL_CPG_BINDING</v>
      </c>
      <c r="C5936" s="4">
        <v>25</v>
      </c>
      <c r="D5936" s="3">
        <v>-1.2732289999999999</v>
      </c>
      <c r="E5936" s="1">
        <v>0.13333333999999999</v>
      </c>
      <c r="F5936" s="2">
        <v>0.34331225999999998</v>
      </c>
    </row>
    <row r="5937" spans="1:6" x14ac:dyDescent="0.25">
      <c r="A5937" t="s">
        <v>7</v>
      </c>
      <c r="B5937" s="5" t="str">
        <f>HYPERLINK("http://www.broadinstitute.org/gsea/msigdb/cards/GOCC_PEPTIDASE_COMPLEX.html","GOCC_PEPTIDASE_COMPLEX")</f>
        <v>GOCC_PEPTIDASE_COMPLEX</v>
      </c>
      <c r="C5937" s="4">
        <v>119</v>
      </c>
      <c r="D5937" s="3">
        <v>-1.2735806000000001</v>
      </c>
      <c r="E5937" s="1">
        <v>4.5901638000000002E-2</v>
      </c>
      <c r="F5937" s="2">
        <v>0.34311237999999999</v>
      </c>
    </row>
    <row r="5938" spans="1:6" x14ac:dyDescent="0.25">
      <c r="A5938" t="s">
        <v>8</v>
      </c>
      <c r="B5938" s="5" t="str">
        <f>HYPERLINK("http://www.broadinstitute.org/gsea/msigdb/cards/GOMF_MITOGEN_ACTIVATED_PROTEIN_KINASE_KINASE_BINDING.html","GOMF_MITOGEN_ACTIVATED_PROTEIN_KINASE_KINASE_BINDING")</f>
        <v>GOMF_MITOGEN_ACTIVATED_PROTEIN_KINASE_KINASE_BINDING</v>
      </c>
      <c r="C5938" s="4">
        <v>20</v>
      </c>
      <c r="D5938" s="3">
        <v>-1.2747046</v>
      </c>
      <c r="E5938" s="1">
        <v>0.13425925</v>
      </c>
      <c r="F5938" s="2">
        <v>0.34139237</v>
      </c>
    </row>
    <row r="5939" spans="1:6" x14ac:dyDescent="0.25">
      <c r="A5939" t="s">
        <v>7</v>
      </c>
      <c r="B5939" s="5" t="str">
        <f>HYPERLINK("http://www.broadinstitute.org/gsea/msigdb/cards/GOCC_DENDRITE_TERMINUS.html","GOCC_DENDRITE_TERMINUS")</f>
        <v>GOCC_DENDRITE_TERMINUS</v>
      </c>
      <c r="C5939" s="4">
        <v>20</v>
      </c>
      <c r="D5939" s="3">
        <v>-1.2749603</v>
      </c>
      <c r="E5939" s="1">
        <v>0.17715618</v>
      </c>
      <c r="F5939" s="2">
        <v>0.34143582</v>
      </c>
    </row>
    <row r="5940" spans="1:6" x14ac:dyDescent="0.25">
      <c r="A5940" t="s">
        <v>6</v>
      </c>
      <c r="B5940" s="5" t="str">
        <f>HYPERLINK("http://www.broadinstitute.org/gsea/msigdb/cards/GOBP_CELLULAR_COMPONENT_ASSEMBLY_INVOLVED_IN_MORPHOGENESIS.html","GOBP_CELLULAR_COMPONENT_ASSEMBLY_INVOLVED_IN_MORPHOGENESIS")</f>
        <v>GOBP_CELLULAR_COMPONENT_ASSEMBLY_INVOLVED_IN_MORPHOGENESIS</v>
      </c>
      <c r="C5940" s="4">
        <v>132</v>
      </c>
      <c r="D5940" s="3">
        <v>-1.2762282</v>
      </c>
      <c r="E5940" s="1">
        <v>4.6920820000000002E-2</v>
      </c>
      <c r="F5940" s="2">
        <v>0.33943512999999997</v>
      </c>
    </row>
    <row r="5941" spans="1:6" x14ac:dyDescent="0.25">
      <c r="A5941" t="s">
        <v>6</v>
      </c>
      <c r="B5941" s="5" t="str">
        <f>HYPERLINK("http://www.broadinstitute.org/gsea/msigdb/cards/GOBP_POSITIVE_REGULATION_OF_POTASSIUM_ION_TRANSMEMBRANE_TRANSPORT.html","GOBP_POSITIVE_REGULATION_OF_POTASSIUM_ION_TRANSMEMBRANE_TRANSPORT")</f>
        <v>GOBP_POSITIVE_REGULATION_OF_POTASSIUM_ION_TRANSMEMBRANE_TRANSPORT</v>
      </c>
      <c r="C5941" s="4">
        <v>43</v>
      </c>
      <c r="D5941" s="3">
        <v>-1.2764924</v>
      </c>
      <c r="E5941" s="1">
        <v>0.11838791</v>
      </c>
      <c r="F5941" s="2">
        <v>0.33940261999999999</v>
      </c>
    </row>
    <row r="5942" spans="1:6" x14ac:dyDescent="0.25">
      <c r="A5942" t="s">
        <v>6</v>
      </c>
      <c r="B5942" s="5" t="str">
        <f>HYPERLINK("http://www.broadinstitute.org/gsea/msigdb/cards/GOBP_POSITIVE_REGULATION_OF_UBIQUITIN_PROTEIN_TRANSFERASE_ACTIVITY.html","GOBP_POSITIVE_REGULATION_OF_UBIQUITIN_PROTEIN_TRANSFERASE_ACTIVITY")</f>
        <v>GOBP_POSITIVE_REGULATION_OF_UBIQUITIN_PROTEIN_TRANSFERASE_ACTIVITY</v>
      </c>
      <c r="C5942" s="4">
        <v>20</v>
      </c>
      <c r="D5942" s="3">
        <v>-1.2779468</v>
      </c>
      <c r="E5942" s="1">
        <v>0.13429257</v>
      </c>
      <c r="F5942" s="2">
        <v>0.33712484999999998</v>
      </c>
    </row>
    <row r="5943" spans="1:6" x14ac:dyDescent="0.25">
      <c r="A5943" t="s">
        <v>11</v>
      </c>
      <c r="B5943" s="5" t="str">
        <f>HYPERLINK("http://www.broadinstitute.org/gsea/msigdb/cards/WP_MITOCHONDRIAL_GENE_EXPRESSION.html","WP_MITOCHONDRIAL_GENE_EXPRESSION")</f>
        <v>WP_MITOCHONDRIAL_GENE_EXPRESSION</v>
      </c>
      <c r="C5943" s="4">
        <v>19</v>
      </c>
      <c r="D5943" s="3">
        <v>-1.2783100999999999</v>
      </c>
      <c r="E5943" s="1">
        <v>0.14676617</v>
      </c>
      <c r="F5943" s="2">
        <v>0.33690177999999998</v>
      </c>
    </row>
    <row r="5944" spans="1:6" x14ac:dyDescent="0.25">
      <c r="A5944" t="s">
        <v>10</v>
      </c>
      <c r="B5944" s="5" t="str">
        <f>HYPERLINK("http://www.broadinstitute.org/gsea/msigdb/cards/REACTOME_TRANSCRIPTIONAL_REGULATION_BY_THE_AP_2_TFAP2_FAMILY_OF_TRANSCRIPTION_FACTORS.html","REACTOME_TRANSCRIPTIONAL_REGULATION_BY_THE_AP_2_TFAP2_FAMILY_OF_TRANSCRIPTION_FACTORS")</f>
        <v>REACTOME_TRANSCRIPTIONAL_REGULATION_BY_THE_AP_2_TFAP2_FAMILY_OF_TRANSCRIPTION_FACTORS</v>
      </c>
      <c r="C5944" s="4">
        <v>20</v>
      </c>
      <c r="D5944" s="3">
        <v>-1.2788773</v>
      </c>
      <c r="E5944" s="1">
        <v>0.14251208000000001</v>
      </c>
      <c r="F5944" s="2">
        <v>0.33632728000000001</v>
      </c>
    </row>
    <row r="5945" spans="1:6" x14ac:dyDescent="0.25">
      <c r="A5945" t="s">
        <v>6</v>
      </c>
      <c r="B5945" s="5" t="str">
        <f>HYPERLINK("http://www.broadinstitute.org/gsea/msigdb/cards/GOBP_NUCLEOLUS_ORGANIZATION.html","GOBP_NUCLEOLUS_ORGANIZATION")</f>
        <v>GOBP_NUCLEOLUS_ORGANIZATION</v>
      </c>
      <c r="C5945" s="4">
        <v>17</v>
      </c>
      <c r="D5945" s="3">
        <v>-1.2792752999999999</v>
      </c>
      <c r="E5945" s="1">
        <v>0.15313224</v>
      </c>
      <c r="F5945" s="2">
        <v>0.33607090000000001</v>
      </c>
    </row>
    <row r="5946" spans="1:6" x14ac:dyDescent="0.25">
      <c r="A5946" t="s">
        <v>7</v>
      </c>
      <c r="B5946" s="5" t="str">
        <f>HYPERLINK("http://www.broadinstitute.org/gsea/msigdb/cards/GOCC_MANCHETTE.html","GOCC_MANCHETTE")</f>
        <v>GOCC_MANCHETTE</v>
      </c>
      <c r="C5946" s="4">
        <v>21</v>
      </c>
      <c r="D5946" s="3">
        <v>-1.2799646</v>
      </c>
      <c r="E5946" s="1">
        <v>0.14512472000000001</v>
      </c>
      <c r="F5946" s="2">
        <v>0.33524189999999998</v>
      </c>
    </row>
    <row r="5947" spans="1:6" x14ac:dyDescent="0.25">
      <c r="A5947" t="s">
        <v>6</v>
      </c>
      <c r="B5947" s="5" t="str">
        <f>HYPERLINK("http://www.broadinstitute.org/gsea/msigdb/cards/GOBP_PROTEIN_HETEROOLIGOMERIZATION.html","GOBP_PROTEIN_HETEROOLIGOMERIZATION")</f>
        <v>GOBP_PROTEIN_HETEROOLIGOMERIZATION</v>
      </c>
      <c r="C5947" s="4">
        <v>27</v>
      </c>
      <c r="D5947" s="3">
        <v>-1.28213</v>
      </c>
      <c r="E5947" s="1">
        <v>0.12895377</v>
      </c>
      <c r="F5947" s="2">
        <v>0.33170860000000002</v>
      </c>
    </row>
    <row r="5948" spans="1:6" x14ac:dyDescent="0.25">
      <c r="A5948" t="s">
        <v>6</v>
      </c>
      <c r="B5948" s="5" t="str">
        <f>HYPERLINK("http://www.broadinstitute.org/gsea/msigdb/cards/GOBP_SPINAL_CORD_DEVELOPMENT.html","GOBP_SPINAL_CORD_DEVELOPMENT")</f>
        <v>GOBP_SPINAL_CORD_DEVELOPMENT</v>
      </c>
      <c r="C5948" s="4">
        <v>98</v>
      </c>
      <c r="D5948" s="3">
        <v>-1.2829638999999999</v>
      </c>
      <c r="E5948" s="1">
        <v>6.0422959999999998E-2</v>
      </c>
      <c r="F5948" s="2">
        <v>0.33075463999999999</v>
      </c>
    </row>
    <row r="5949" spans="1:6" x14ac:dyDescent="0.25">
      <c r="A5949" t="s">
        <v>10</v>
      </c>
      <c r="B5949" s="5" t="str">
        <f>HYPERLINK("http://www.broadinstitute.org/gsea/msigdb/cards/REACTOME_FCERI_MEDIATED_NF_KB_ACTIVATION.html","REACTOME_FCERI_MEDIATED_NF_KB_ACTIVATION")</f>
        <v>REACTOME_FCERI_MEDIATED_NF_KB_ACTIVATION</v>
      </c>
      <c r="C5949" s="4">
        <v>77</v>
      </c>
      <c r="D5949" s="3">
        <v>-1.2835483999999999</v>
      </c>
      <c r="E5949" s="1">
        <v>8.4931510000000002E-2</v>
      </c>
      <c r="F5949" s="2">
        <v>0.33010304000000001</v>
      </c>
    </row>
    <row r="5950" spans="1:6" x14ac:dyDescent="0.25">
      <c r="A5950" t="s">
        <v>6</v>
      </c>
      <c r="B5950" s="5" t="str">
        <f>HYPERLINK("http://www.broadinstitute.org/gsea/msigdb/cards/GOBP_THYMUS_DEVELOPMENT.html","GOBP_THYMUS_DEVELOPMENT")</f>
        <v>GOBP_THYMUS_DEVELOPMENT</v>
      </c>
      <c r="C5950" s="4">
        <v>57</v>
      </c>
      <c r="D5950" s="3">
        <v>-1.2845325000000001</v>
      </c>
      <c r="E5950" s="1">
        <v>8.9238844999999997E-2</v>
      </c>
      <c r="F5950" s="2">
        <v>0.32871407000000002</v>
      </c>
    </row>
    <row r="5951" spans="1:6" x14ac:dyDescent="0.25">
      <c r="A5951" t="s">
        <v>6</v>
      </c>
      <c r="B5951" s="5" t="str">
        <f>HYPERLINK("http://www.broadinstitute.org/gsea/msigdb/cards/GOBP_REGULATION_OF_SKELETAL_MUSCLE_CONTRACTION.html","GOBP_REGULATION_OF_SKELETAL_MUSCLE_CONTRACTION")</f>
        <v>GOBP_REGULATION_OF_SKELETAL_MUSCLE_CONTRACTION</v>
      </c>
      <c r="C5951" s="4">
        <v>17</v>
      </c>
      <c r="D5951" s="3">
        <v>-1.2849714999999999</v>
      </c>
      <c r="E5951" s="1">
        <v>0.14698794000000001</v>
      </c>
      <c r="F5951" s="2">
        <v>0.32841384000000001</v>
      </c>
    </row>
    <row r="5952" spans="1:6" x14ac:dyDescent="0.25">
      <c r="A5952" t="s">
        <v>10</v>
      </c>
      <c r="B5952" s="5" t="str">
        <f>HYPERLINK("http://www.broadinstitute.org/gsea/msigdb/cards/REACTOME_HEDGEHOG_OFF_STATE.html","REACTOME_HEDGEHOG_OFF_STATE")</f>
        <v>REACTOME_HEDGEHOG_OFF_STATE</v>
      </c>
      <c r="C5952" s="4">
        <v>107</v>
      </c>
      <c r="D5952" s="3">
        <v>-1.2853428</v>
      </c>
      <c r="E5952" s="1">
        <v>4.5180722999999999E-2</v>
      </c>
      <c r="F5952" s="2">
        <v>0.32818779999999997</v>
      </c>
    </row>
    <row r="5953" spans="1:6" x14ac:dyDescent="0.25">
      <c r="A5953" t="s">
        <v>10</v>
      </c>
      <c r="B5953" s="5" t="str">
        <f>HYPERLINK("http://www.broadinstitute.org/gsea/msigdb/cards/REACTOME_ASSEMBLY_OF_THE_PRE_REPLICATIVE_COMPLEX.html","REACTOME_ASSEMBLY_OF_THE_PRE_REPLICATIVE_COMPLEX")</f>
        <v>REACTOME_ASSEMBLY_OF_THE_PRE_REPLICATIVE_COMPLEX</v>
      </c>
      <c r="C5953" s="4">
        <v>82</v>
      </c>
      <c r="D5953" s="3">
        <v>-1.2856004999999999</v>
      </c>
      <c r="E5953" s="1">
        <v>6.7055400000000001E-2</v>
      </c>
      <c r="F5953" s="2">
        <v>0.32818580000000003</v>
      </c>
    </row>
    <row r="5954" spans="1:6" x14ac:dyDescent="0.25">
      <c r="A5954" t="s">
        <v>6</v>
      </c>
      <c r="B5954" s="5" t="str">
        <f>HYPERLINK("http://www.broadinstitute.org/gsea/msigdb/cards/GOBP_ENDOCRINE_SYSTEM_DEVELOPMENT.html","GOBP_ENDOCRINE_SYSTEM_DEVELOPMENT")</f>
        <v>GOBP_ENDOCRINE_SYSTEM_DEVELOPMENT</v>
      </c>
      <c r="C5954" s="4">
        <v>134</v>
      </c>
      <c r="D5954" s="3">
        <v>-1.2860634</v>
      </c>
      <c r="E5954" s="1">
        <v>2.1739129999999999E-2</v>
      </c>
      <c r="F5954" s="2">
        <v>0.32780573000000002</v>
      </c>
    </row>
    <row r="5955" spans="1:6" x14ac:dyDescent="0.25">
      <c r="A5955" t="s">
        <v>6</v>
      </c>
      <c r="B5955" s="5" t="str">
        <f>HYPERLINK("http://www.broadinstitute.org/gsea/msigdb/cards/GOBP_CELL_FATE_COMMITMENT.html","GOBP_CELL_FATE_COMMITMENT")</f>
        <v>GOBP_CELL_FATE_COMMITMENT</v>
      </c>
      <c r="C5955" s="4">
        <v>295</v>
      </c>
      <c r="D5955" s="3">
        <v>-1.2864556</v>
      </c>
      <c r="E5955" s="1">
        <v>3.8759689999999999E-3</v>
      </c>
      <c r="F5955" s="2">
        <v>0.32756042000000002</v>
      </c>
    </row>
    <row r="5956" spans="1:6" x14ac:dyDescent="0.25">
      <c r="A5956" t="s">
        <v>7</v>
      </c>
      <c r="B5956" s="5" t="str">
        <f>HYPERLINK("http://www.broadinstitute.org/gsea/msigdb/cards/GOCC_MICROTUBULE_PLUS_END.html","GOCC_MICROTUBULE_PLUS_END")</f>
        <v>GOCC_MICROTUBULE_PLUS_END</v>
      </c>
      <c r="C5956" s="4">
        <v>26</v>
      </c>
      <c r="D5956" s="3">
        <v>-1.286521</v>
      </c>
      <c r="E5956" s="1">
        <v>0.14685314999999999</v>
      </c>
      <c r="F5956" s="2">
        <v>0.32794273000000002</v>
      </c>
    </row>
    <row r="5957" spans="1:6" x14ac:dyDescent="0.25">
      <c r="A5957" t="s">
        <v>6</v>
      </c>
      <c r="B5957" s="5" t="str">
        <f>HYPERLINK("http://www.broadinstitute.org/gsea/msigdb/cards/GOBP_REGULATION_OF_AEROBIC_RESPIRATION.html","GOBP_REGULATION_OF_AEROBIC_RESPIRATION")</f>
        <v>GOBP_REGULATION_OF_AEROBIC_RESPIRATION</v>
      </c>
      <c r="C5957" s="4">
        <v>35</v>
      </c>
      <c r="D5957" s="3">
        <v>-1.2865735</v>
      </c>
      <c r="E5957" s="1">
        <v>0.12200957</v>
      </c>
      <c r="F5957" s="2">
        <v>0.32833377000000002</v>
      </c>
    </row>
    <row r="5958" spans="1:6" x14ac:dyDescent="0.25">
      <c r="A5958" t="s">
        <v>6</v>
      </c>
      <c r="B5958" s="5" t="str">
        <f>HYPERLINK("http://www.broadinstitute.org/gsea/msigdb/cards/GOBP_BODY_MORPHOGENESIS.html","GOBP_BODY_MORPHOGENESIS")</f>
        <v>GOBP_BODY_MORPHOGENESIS</v>
      </c>
      <c r="C5958" s="4">
        <v>63</v>
      </c>
      <c r="D5958" s="3">
        <v>-1.286972</v>
      </c>
      <c r="E5958" s="1">
        <v>8.1460679999999994E-2</v>
      </c>
      <c r="F5958" s="2">
        <v>0.32809672000000001</v>
      </c>
    </row>
    <row r="5959" spans="1:6" x14ac:dyDescent="0.25">
      <c r="A5959" t="s">
        <v>6</v>
      </c>
      <c r="B5959" s="5" t="str">
        <f>HYPERLINK("http://www.broadinstitute.org/gsea/msigdb/cards/GOBP_CAMERA_TYPE_EYE_PHOTORECEPTOR_CELL_DIFFERENTIATION.html","GOBP_CAMERA_TYPE_EYE_PHOTORECEPTOR_CELL_DIFFERENTIATION")</f>
        <v>GOBP_CAMERA_TYPE_EYE_PHOTORECEPTOR_CELL_DIFFERENTIATION</v>
      </c>
      <c r="C5959" s="4">
        <v>37</v>
      </c>
      <c r="D5959" s="3">
        <v>-1.2895544000000001</v>
      </c>
      <c r="E5959" s="1">
        <v>0.105793454</v>
      </c>
      <c r="F5959" s="2">
        <v>0.3236579</v>
      </c>
    </row>
    <row r="5960" spans="1:6" x14ac:dyDescent="0.25">
      <c r="A5960" t="s">
        <v>8</v>
      </c>
      <c r="B5960" s="5" t="str">
        <f>HYPERLINK("http://www.broadinstitute.org/gsea/msigdb/cards/GOMF_FRIZZLED_BINDING.html","GOMF_FRIZZLED_BINDING")</f>
        <v>GOMF_FRIZZLED_BINDING</v>
      </c>
      <c r="C5960" s="4">
        <v>42</v>
      </c>
      <c r="D5960" s="3">
        <v>-1.2896977999999999</v>
      </c>
      <c r="E5960" s="1">
        <v>0.116883114</v>
      </c>
      <c r="F5960" s="2">
        <v>0.32387050000000001</v>
      </c>
    </row>
    <row r="5961" spans="1:6" x14ac:dyDescent="0.25">
      <c r="A5961" t="s">
        <v>10</v>
      </c>
      <c r="B5961" s="5" t="str">
        <f>HYPERLINK("http://www.broadinstitute.org/gsea/msigdb/cards/REACTOME_DOWNSTREAM_SIGNALING_EVENTS_OF_B_CELL_RECEPTOR_BCR.html","REACTOME_DOWNSTREAM_SIGNALING_EVENTS_OF_B_CELL_RECEPTOR_BCR")</f>
        <v>REACTOME_DOWNSTREAM_SIGNALING_EVENTS_OF_B_CELL_RECEPTOR_BCR</v>
      </c>
      <c r="C5961" s="4">
        <v>78</v>
      </c>
      <c r="D5961" s="3">
        <v>-1.2899247</v>
      </c>
      <c r="E5961" s="1">
        <v>7.3446326000000006E-2</v>
      </c>
      <c r="F5961" s="2">
        <v>0.32394144000000002</v>
      </c>
    </row>
    <row r="5962" spans="1:6" x14ac:dyDescent="0.25">
      <c r="A5962" t="s">
        <v>11</v>
      </c>
      <c r="B5962" s="5" t="str">
        <f>HYPERLINK("http://www.broadinstitute.org/gsea/msigdb/cards/WP_NUCLEAR_RECEPTORS.html","WP_NUCLEAR_RECEPTORS")</f>
        <v>WP_NUCLEAR_RECEPTORS</v>
      </c>
      <c r="C5962" s="4">
        <v>37</v>
      </c>
      <c r="D5962" s="3">
        <v>-1.2901309999999999</v>
      </c>
      <c r="E5962" s="1">
        <v>0.10301507</v>
      </c>
      <c r="F5962" s="2">
        <v>0.32407429999999998</v>
      </c>
    </row>
    <row r="5963" spans="1:6" x14ac:dyDescent="0.25">
      <c r="A5963" t="s">
        <v>6</v>
      </c>
      <c r="B5963" s="5" t="str">
        <f>HYPERLINK("http://www.broadinstitute.org/gsea/msigdb/cards/GOBP_NEGATIVE_REGULATION_OF_GLIAL_CELL_DIFFERENTIATION.html","GOBP_NEGATIVE_REGULATION_OF_GLIAL_CELL_DIFFERENTIATION")</f>
        <v>GOBP_NEGATIVE_REGULATION_OF_GLIAL_CELL_DIFFERENTIATION</v>
      </c>
      <c r="C5963" s="4">
        <v>37</v>
      </c>
      <c r="D5963" s="3">
        <v>-1.2902058000000001</v>
      </c>
      <c r="E5963" s="1">
        <v>0.12224939</v>
      </c>
      <c r="F5963" s="2">
        <v>0.32443287999999998</v>
      </c>
    </row>
    <row r="5964" spans="1:6" x14ac:dyDescent="0.25">
      <c r="A5964" t="s">
        <v>7</v>
      </c>
      <c r="B5964" s="5" t="str">
        <f>HYPERLINK("http://www.broadinstitute.org/gsea/msigdb/cards/GOCC_EUCHROMATIN.html","GOCC_EUCHROMATIN")</f>
        <v>GOCC_EUCHROMATIN</v>
      </c>
      <c r="C5964" s="4">
        <v>64</v>
      </c>
      <c r="D5964" s="3">
        <v>-1.2909766</v>
      </c>
      <c r="E5964" s="1">
        <v>7.9575599999999996E-2</v>
      </c>
      <c r="F5964" s="2">
        <v>0.32342574000000002</v>
      </c>
    </row>
    <row r="5965" spans="1:6" x14ac:dyDescent="0.25">
      <c r="A5965" t="s">
        <v>10</v>
      </c>
      <c r="B5965" s="5" t="str">
        <f>HYPERLINK("http://www.broadinstitute.org/gsea/msigdb/cards/REACTOME_REGULATION_OF_PTEN_GENE_TRANSCRIPTION.html","REACTOME_REGULATION_OF_PTEN_GENE_TRANSCRIPTION")</f>
        <v>REACTOME_REGULATION_OF_PTEN_GENE_TRANSCRIPTION</v>
      </c>
      <c r="C5965" s="4">
        <v>42</v>
      </c>
      <c r="D5965" s="3">
        <v>-1.2910634999999999</v>
      </c>
      <c r="E5965" s="1">
        <v>0.11358024999999999</v>
      </c>
      <c r="F5965" s="2">
        <v>0.32376215000000003</v>
      </c>
    </row>
    <row r="5966" spans="1:6" x14ac:dyDescent="0.25">
      <c r="A5966" t="s">
        <v>6</v>
      </c>
      <c r="B5966" s="5" t="str">
        <f>HYPERLINK("http://www.broadinstitute.org/gsea/msigdb/cards/GOBP_FACE_DEVELOPMENT.html","GOBP_FACE_DEVELOPMENT")</f>
        <v>GOBP_FACE_DEVELOPMENT</v>
      </c>
      <c r="C5966" s="4">
        <v>63</v>
      </c>
      <c r="D5966" s="3">
        <v>-1.2920077000000001</v>
      </c>
      <c r="E5966" s="1">
        <v>7.7922076000000007E-2</v>
      </c>
      <c r="F5966" s="2">
        <v>0.32240275000000002</v>
      </c>
    </row>
    <row r="5967" spans="1:6" x14ac:dyDescent="0.25">
      <c r="A5967" t="s">
        <v>7</v>
      </c>
      <c r="B5967" s="5" t="str">
        <f>HYPERLINK("http://www.broadinstitute.org/gsea/msigdb/cards/GOCC_NURD_COMPLEX.html","GOCC_NURD_COMPLEX")</f>
        <v>GOCC_NURD_COMPLEX</v>
      </c>
      <c r="C5967" s="4">
        <v>17</v>
      </c>
      <c r="D5967" s="3">
        <v>-1.2931976000000001</v>
      </c>
      <c r="E5967" s="1">
        <v>0.15158372000000001</v>
      </c>
      <c r="F5967" s="2">
        <v>0.32061060000000002</v>
      </c>
    </row>
    <row r="5968" spans="1:6" x14ac:dyDescent="0.25">
      <c r="A5968" t="s">
        <v>6</v>
      </c>
      <c r="B5968" s="5" t="str">
        <f>HYPERLINK("http://www.broadinstitute.org/gsea/msigdb/cards/GOBP_SKIN_EPIDERMIS_DEVELOPMENT.html","GOBP_SKIN_EPIDERMIS_DEVELOPMENT")</f>
        <v>GOBP_SKIN_EPIDERMIS_DEVELOPMENT</v>
      </c>
      <c r="C5968" s="4">
        <v>160</v>
      </c>
      <c r="D5968" s="3">
        <v>-1.293409</v>
      </c>
      <c r="E5968" s="1">
        <v>2.8846153999999999E-2</v>
      </c>
      <c r="F5968" s="2">
        <v>0.32071188</v>
      </c>
    </row>
    <row r="5969" spans="1:6" x14ac:dyDescent="0.25">
      <c r="A5969" t="s">
        <v>11</v>
      </c>
      <c r="B5969" s="5" t="str">
        <f>HYPERLINK("http://www.broadinstitute.org/gsea/msigdb/cards/WP_ESTROGEN_SIGNALING.html","WP_ESTROGEN_SIGNALING")</f>
        <v>WP_ESTROGEN_SIGNALING</v>
      </c>
      <c r="C5969" s="4">
        <v>73</v>
      </c>
      <c r="D5969" s="3">
        <v>-1.293461</v>
      </c>
      <c r="E5969" s="1">
        <v>7.5208919999999999E-2</v>
      </c>
      <c r="F5969" s="2">
        <v>0.32111493000000002</v>
      </c>
    </row>
    <row r="5970" spans="1:6" x14ac:dyDescent="0.25">
      <c r="A5970" t="s">
        <v>6</v>
      </c>
      <c r="B5970" s="5" t="str">
        <f>HYPERLINK("http://www.broadinstitute.org/gsea/msigdb/cards/GOBP_POSITIVE_REGULATION_OF_RNA_SPLICING.html","GOBP_POSITIVE_REGULATION_OF_RNA_SPLICING")</f>
        <v>GOBP_POSITIVE_REGULATION_OF_RNA_SPLICING</v>
      </c>
      <c r="C5970" s="4">
        <v>47</v>
      </c>
      <c r="D5970" s="3">
        <v>-1.2936823</v>
      </c>
      <c r="E5970" s="1">
        <v>8.3557950000000006E-2</v>
      </c>
      <c r="F5970" s="2">
        <v>0.32120090000000001</v>
      </c>
    </row>
    <row r="5971" spans="1:6" x14ac:dyDescent="0.25">
      <c r="A5971" t="s">
        <v>6</v>
      </c>
      <c r="B5971" s="5" t="str">
        <f>HYPERLINK("http://www.broadinstitute.org/gsea/msigdb/cards/GOBP_RNA_CAPPING.html","GOBP_RNA_CAPPING")</f>
        <v>GOBP_RNA_CAPPING</v>
      </c>
      <c r="C5971" s="4">
        <v>26</v>
      </c>
      <c r="D5971" s="3">
        <v>-1.2942515999999999</v>
      </c>
      <c r="E5971" s="1">
        <v>0.12048193</v>
      </c>
      <c r="F5971" s="2">
        <v>0.32061627999999998</v>
      </c>
    </row>
    <row r="5972" spans="1:6" x14ac:dyDescent="0.25">
      <c r="A5972" t="s">
        <v>6</v>
      </c>
      <c r="B5972" s="5" t="str">
        <f>HYPERLINK("http://www.broadinstitute.org/gsea/msigdb/cards/GOBP_REGULATION_OF_CELL_CYCLE_G1_S_PHASE_TRANSITION.html","GOBP_REGULATION_OF_CELL_CYCLE_G1_S_PHASE_TRANSITION")</f>
        <v>GOBP_REGULATION_OF_CELL_CYCLE_G1_S_PHASE_TRANSITION</v>
      </c>
      <c r="C5972" s="4">
        <v>187</v>
      </c>
      <c r="D5972" s="3">
        <v>-1.2952779999999999</v>
      </c>
      <c r="E5972" s="1">
        <v>1.7361112000000001E-2</v>
      </c>
      <c r="F5972" s="2">
        <v>0.31921603999999998</v>
      </c>
    </row>
    <row r="5973" spans="1:6" x14ac:dyDescent="0.25">
      <c r="A5973" t="s">
        <v>6</v>
      </c>
      <c r="B5973" s="5" t="str">
        <f>HYPERLINK("http://www.broadinstitute.org/gsea/msigdb/cards/GOBP_DNA_MODIFICATION.html","GOBP_DNA_MODIFICATION")</f>
        <v>GOBP_DNA_MODIFICATION</v>
      </c>
      <c r="C5973" s="4">
        <v>78</v>
      </c>
      <c r="D5973" s="3">
        <v>-1.2953355</v>
      </c>
      <c r="E5973" s="1">
        <v>5.9322033000000003E-2</v>
      </c>
      <c r="F5973" s="2">
        <v>0.31958576999999999</v>
      </c>
    </row>
    <row r="5974" spans="1:6" x14ac:dyDescent="0.25">
      <c r="A5974" t="s">
        <v>8</v>
      </c>
      <c r="B5974" s="5" t="str">
        <f>HYPERLINK("http://www.broadinstitute.org/gsea/msigdb/cards/GOMF_SODIUM_CHANNEL_REGULATOR_ACTIVITY.html","GOMF_SODIUM_CHANNEL_REGULATOR_ACTIVITY")</f>
        <v>GOMF_SODIUM_CHANNEL_REGULATOR_ACTIVITY</v>
      </c>
      <c r="C5974" s="4">
        <v>35</v>
      </c>
      <c r="D5974" s="3">
        <v>-1.2953981000000001</v>
      </c>
      <c r="E5974" s="1">
        <v>0.10230179</v>
      </c>
      <c r="F5974" s="2">
        <v>0.31996091999999998</v>
      </c>
    </row>
    <row r="5975" spans="1:6" x14ac:dyDescent="0.25">
      <c r="A5975" t="s">
        <v>6</v>
      </c>
      <c r="B5975" s="5" t="str">
        <f>HYPERLINK("http://www.broadinstitute.org/gsea/msigdb/cards/GOBP_DOSAGE_COMPENSATION.html","GOBP_DOSAGE_COMPENSATION")</f>
        <v>GOBP_DOSAGE_COMPENSATION</v>
      </c>
      <c r="C5975" s="4">
        <v>32</v>
      </c>
      <c r="D5975" s="3">
        <v>-1.2962085000000001</v>
      </c>
      <c r="E5975" s="1">
        <v>9.6692114999999995E-2</v>
      </c>
      <c r="F5975" s="2">
        <v>0.31902059999999999</v>
      </c>
    </row>
    <row r="5976" spans="1:6" x14ac:dyDescent="0.25">
      <c r="A5976" t="s">
        <v>7</v>
      </c>
      <c r="B5976" s="5" t="str">
        <f>HYPERLINK("http://www.broadinstitute.org/gsea/msigdb/cards/GOCC_PROTEIN_KINASE_COMPLEX.html","GOCC_PROTEIN_KINASE_COMPLEX")</f>
        <v>GOCC_PROTEIN_KINASE_COMPLEX</v>
      </c>
      <c r="C5976" s="4">
        <v>139</v>
      </c>
      <c r="D5976" s="3">
        <v>-1.2963396</v>
      </c>
      <c r="E5976" s="1">
        <v>4.923077E-2</v>
      </c>
      <c r="F5976" s="2">
        <v>0.31929478</v>
      </c>
    </row>
    <row r="5977" spans="1:6" x14ac:dyDescent="0.25">
      <c r="A5977" t="s">
        <v>6</v>
      </c>
      <c r="B5977" s="5" t="str">
        <f>HYPERLINK("http://www.broadinstitute.org/gsea/msigdb/cards/GOBP_SYNAPSE_MATURATION.html","GOBP_SYNAPSE_MATURATION")</f>
        <v>GOBP_SYNAPSE_MATURATION</v>
      </c>
      <c r="C5977" s="4">
        <v>39</v>
      </c>
      <c r="D5977" s="3">
        <v>-1.2968689</v>
      </c>
      <c r="E5977" s="1">
        <v>8.7064675999999994E-2</v>
      </c>
      <c r="F5977" s="2">
        <v>0.31876048000000001</v>
      </c>
    </row>
    <row r="5978" spans="1:6" x14ac:dyDescent="0.25">
      <c r="A5978" t="s">
        <v>6</v>
      </c>
      <c r="B5978" s="5" t="str">
        <f>HYPERLINK("http://www.broadinstitute.org/gsea/msigdb/cards/GOBP_REGULATION_OF_CHONDROCYTE_DIFFERENTIATION.html","GOBP_REGULATION_OF_CHONDROCYTE_DIFFERENTIATION")</f>
        <v>GOBP_REGULATION_OF_CHONDROCYTE_DIFFERENTIATION</v>
      </c>
      <c r="C5978" s="4">
        <v>54</v>
      </c>
      <c r="D5978" s="3">
        <v>-1.2970278</v>
      </c>
      <c r="E5978" s="1">
        <v>0.10416666400000001</v>
      </c>
      <c r="F5978" s="2">
        <v>0.31899246999999997</v>
      </c>
    </row>
    <row r="5979" spans="1:6" x14ac:dyDescent="0.25">
      <c r="A5979" t="s">
        <v>7</v>
      </c>
      <c r="B5979" s="5" t="str">
        <f>HYPERLINK("http://www.broadinstitute.org/gsea/msigdb/cards/GOCC_NUCLEAR_UBIQUITIN_LIGASE_COMPLEX.html","GOCC_NUCLEAR_UBIQUITIN_LIGASE_COMPLEX")</f>
        <v>GOCC_NUCLEAR_UBIQUITIN_LIGASE_COMPLEX</v>
      </c>
      <c r="C5979" s="4">
        <v>44</v>
      </c>
      <c r="D5979" s="3">
        <v>-1.2972741999999999</v>
      </c>
      <c r="E5979" s="1">
        <v>9.448819E-2</v>
      </c>
      <c r="F5979" s="2">
        <v>0.31904719999999998</v>
      </c>
    </row>
    <row r="5980" spans="1:6" x14ac:dyDescent="0.25">
      <c r="A5980" t="s">
        <v>10</v>
      </c>
      <c r="B5980" s="5" t="str">
        <f>HYPERLINK("http://www.broadinstitute.org/gsea/msigdb/cards/REACTOME_DOWNSTREAM_TCR_SIGNALING.html","REACTOME_DOWNSTREAM_TCR_SIGNALING")</f>
        <v>REACTOME_DOWNSTREAM_TCR_SIGNALING</v>
      </c>
      <c r="C5980" s="4">
        <v>88</v>
      </c>
      <c r="D5980" s="3">
        <v>-1.2978197</v>
      </c>
      <c r="E5980" s="1">
        <v>6.1452514999999999E-2</v>
      </c>
      <c r="F5980" s="2">
        <v>0.31853496999999997</v>
      </c>
    </row>
    <row r="5981" spans="1:6" x14ac:dyDescent="0.25">
      <c r="A5981" t="s">
        <v>6</v>
      </c>
      <c r="B5981" s="5" t="str">
        <f>HYPERLINK("http://www.broadinstitute.org/gsea/msigdb/cards/GOBP_AXON_GUIDANCE.html","GOBP_AXON_GUIDANCE")</f>
        <v>GOBP_AXON_GUIDANCE</v>
      </c>
      <c r="C5981" s="4">
        <v>243</v>
      </c>
      <c r="D5981" s="3">
        <v>-1.2978742000000001</v>
      </c>
      <c r="E5981" s="1">
        <v>1.2E-2</v>
      </c>
      <c r="F5981" s="2">
        <v>0.31895378000000002</v>
      </c>
    </row>
    <row r="5982" spans="1:6" x14ac:dyDescent="0.25">
      <c r="A5982" t="s">
        <v>10</v>
      </c>
      <c r="B5982" s="5" t="str">
        <f>HYPERLINK("http://www.broadinstitute.org/gsea/msigdb/cards/REACTOME_SNRNP_ASSEMBLY.html","REACTOME_SNRNP_ASSEMBLY")</f>
        <v>REACTOME_SNRNP_ASSEMBLY</v>
      </c>
      <c r="C5982" s="4">
        <v>49</v>
      </c>
      <c r="D5982" s="3">
        <v>-1.2978783</v>
      </c>
      <c r="E5982" s="1">
        <v>8.8161210000000004E-2</v>
      </c>
      <c r="F5982" s="2">
        <v>0.31944376000000002</v>
      </c>
    </row>
    <row r="5983" spans="1:6" x14ac:dyDescent="0.25">
      <c r="A5983" t="s">
        <v>6</v>
      </c>
      <c r="B5983" s="5" t="str">
        <f>HYPERLINK("http://www.broadinstitute.org/gsea/msigdb/cards/GOBP_MESONEPHRIC_TUBULE_MORPHOGENESIS.html","GOBP_MESONEPHRIC_TUBULE_MORPHOGENESIS")</f>
        <v>GOBP_MESONEPHRIC_TUBULE_MORPHOGENESIS</v>
      </c>
      <c r="C5983" s="4">
        <v>76</v>
      </c>
      <c r="D5983" s="3">
        <v>-1.2980216</v>
      </c>
      <c r="E5983" s="1">
        <v>6.9148934999999995E-2</v>
      </c>
      <c r="F5983" s="2">
        <v>0.31971644999999999</v>
      </c>
    </row>
    <row r="5984" spans="1:6" x14ac:dyDescent="0.25">
      <c r="A5984" t="s">
        <v>6</v>
      </c>
      <c r="B5984" s="5" t="str">
        <f>HYPERLINK("http://www.broadinstitute.org/gsea/msigdb/cards/GOBP_SYNAPTIC_TRANSMISSION_CHOLINERGIC.html","GOBP_SYNAPTIC_TRANSMISSION_CHOLINERGIC")</f>
        <v>GOBP_SYNAPTIC_TRANSMISSION_CHOLINERGIC</v>
      </c>
      <c r="C5984" s="4">
        <v>30</v>
      </c>
      <c r="D5984" s="3">
        <v>-1.2984876999999999</v>
      </c>
      <c r="E5984" s="1">
        <v>0.10538641</v>
      </c>
      <c r="F5984" s="2">
        <v>0.31937808000000001</v>
      </c>
    </row>
    <row r="5985" spans="1:6" x14ac:dyDescent="0.25">
      <c r="A5985" t="s">
        <v>6</v>
      </c>
      <c r="B5985" s="5" t="str">
        <f>HYPERLINK("http://www.broadinstitute.org/gsea/msigdb/cards/GOBP_PROTEIN_METHYLATION.html","GOBP_PROTEIN_METHYLATION")</f>
        <v>GOBP_PROTEIN_METHYLATION</v>
      </c>
      <c r="C5985" s="4">
        <v>103</v>
      </c>
      <c r="D5985" s="3">
        <v>-1.2997365999999999</v>
      </c>
      <c r="E5985" s="1">
        <v>4.8780485999999998E-2</v>
      </c>
      <c r="F5985" s="2">
        <v>0.31754369999999998</v>
      </c>
    </row>
    <row r="5986" spans="1:6" x14ac:dyDescent="0.25">
      <c r="A5986" t="s">
        <v>6</v>
      </c>
      <c r="B5986" s="5" t="str">
        <f>HYPERLINK("http://www.broadinstitute.org/gsea/msigdb/cards/GOBP_SKELETAL_SYSTEM_MORPHOGENESIS.html","GOBP_SKELETAL_SYSTEM_MORPHOGENESIS")</f>
        <v>GOBP_SKELETAL_SYSTEM_MORPHOGENESIS</v>
      </c>
      <c r="C5986" s="4">
        <v>259</v>
      </c>
      <c r="D5986" s="3">
        <v>-1.3003027</v>
      </c>
      <c r="E5986" s="1">
        <v>3.8167940000000001E-3</v>
      </c>
      <c r="F5986" s="2">
        <v>0.31696790000000002</v>
      </c>
    </row>
    <row r="5987" spans="1:6" x14ac:dyDescent="0.25">
      <c r="A5987" t="s">
        <v>7</v>
      </c>
      <c r="B5987" s="5" t="str">
        <f>HYPERLINK("http://www.broadinstitute.org/gsea/msigdb/cards/GOCC_SPERM_HEAD.html","GOCC_SPERM_HEAD")</f>
        <v>GOCC_SPERM_HEAD</v>
      </c>
      <c r="C5987" s="4">
        <v>23</v>
      </c>
      <c r="D5987" s="3">
        <v>-1.3020978000000001</v>
      </c>
      <c r="E5987" s="1">
        <v>0.1356784</v>
      </c>
      <c r="F5987" s="2">
        <v>0.31426278000000002</v>
      </c>
    </row>
    <row r="5988" spans="1:6" x14ac:dyDescent="0.25">
      <c r="A5988" t="s">
        <v>6</v>
      </c>
      <c r="B5988" s="5" t="str">
        <f>HYPERLINK("http://www.broadinstitute.org/gsea/msigdb/cards/GOBP_MRNA_EXPORT_FROM_NUCLEUS.html","GOBP_MRNA_EXPORT_FROM_NUCLEUS")</f>
        <v>GOBP_MRNA_EXPORT_FROM_NUCLEUS</v>
      </c>
      <c r="C5988" s="4">
        <v>60</v>
      </c>
      <c r="D5988" s="3">
        <v>-1.3021315</v>
      </c>
      <c r="E5988" s="1">
        <v>6.6666669999999997E-2</v>
      </c>
      <c r="F5988" s="2">
        <v>0.31470271999999999</v>
      </c>
    </row>
    <row r="5989" spans="1:6" x14ac:dyDescent="0.25">
      <c r="A5989" t="s">
        <v>6</v>
      </c>
      <c r="B5989" s="5" t="str">
        <f>HYPERLINK("http://www.broadinstitute.org/gsea/msigdb/cards/GOBP_PURINE_CONTAINING_COMPOUND_METABOLIC_PROCESS.html","GOBP_PURINE_CONTAINING_COMPOUND_METABOLIC_PROCESS")</f>
        <v>GOBP_PURINE_CONTAINING_COMPOUND_METABOLIC_PROCESS</v>
      </c>
      <c r="C5989" s="4">
        <v>448</v>
      </c>
      <c r="D5989" s="3">
        <v>-1.3032484</v>
      </c>
      <c r="E5989" s="1">
        <v>0</v>
      </c>
      <c r="F5989" s="2">
        <v>0.31309682</v>
      </c>
    </row>
    <row r="5990" spans="1:6" x14ac:dyDescent="0.25">
      <c r="A5990" t="s">
        <v>6</v>
      </c>
      <c r="B5990" s="5" t="str">
        <f>HYPERLINK("http://www.broadinstitute.org/gsea/msigdb/cards/GOBP_ANIMAL_ORGAN_FORMATION.html","GOBP_ANIMAL_ORGAN_FORMATION")</f>
        <v>GOBP_ANIMAL_ORGAN_FORMATION</v>
      </c>
      <c r="C5990" s="4">
        <v>75</v>
      </c>
      <c r="D5990" s="3">
        <v>-1.3035618</v>
      </c>
      <c r="E5990" s="1">
        <v>7.4498564000000003E-2</v>
      </c>
      <c r="F5990" s="2">
        <v>0.31302160000000001</v>
      </c>
    </row>
    <row r="5991" spans="1:6" x14ac:dyDescent="0.25">
      <c r="A5991" t="s">
        <v>10</v>
      </c>
      <c r="B5991" s="5" t="str">
        <f>HYPERLINK("http://www.broadinstitute.org/gsea/msigdb/cards/REACTOME_CARBOXYTERMINAL_POST_TRANSLATIONAL_MODIFICATIONS_OF_TUBULIN.html","REACTOME_CARBOXYTERMINAL_POST_TRANSLATIONAL_MODIFICATIONS_OF_TUBULIN")</f>
        <v>REACTOME_CARBOXYTERMINAL_POST_TRANSLATIONAL_MODIFICATIONS_OF_TUBULIN</v>
      </c>
      <c r="C5991" s="4">
        <v>27</v>
      </c>
      <c r="D5991" s="3">
        <v>-1.3037342999999999</v>
      </c>
      <c r="E5991" s="1">
        <v>9.8130844999999994E-2</v>
      </c>
      <c r="F5991" s="2">
        <v>0.31317194999999998</v>
      </c>
    </row>
    <row r="5992" spans="1:6" x14ac:dyDescent="0.25">
      <c r="A5992" t="s">
        <v>6</v>
      </c>
      <c r="B5992" s="5" t="str">
        <f>HYPERLINK("http://www.broadinstitute.org/gsea/msigdb/cards/GOBP_MUSCLE_TISSUE_DEVELOPMENT.html","GOBP_MUSCLE_TISSUE_DEVELOPMENT")</f>
        <v>GOBP_MUSCLE_TISSUE_DEVELOPMENT</v>
      </c>
      <c r="C5992" s="4">
        <v>473</v>
      </c>
      <c r="D5992" s="3">
        <v>-1.3047489000000001</v>
      </c>
      <c r="E5992" s="1">
        <v>0</v>
      </c>
      <c r="F5992" s="2">
        <v>0.31184092000000002</v>
      </c>
    </row>
    <row r="5993" spans="1:6" x14ac:dyDescent="0.25">
      <c r="A5993" t="s">
        <v>6</v>
      </c>
      <c r="B5993" s="5" t="str">
        <f>HYPERLINK("http://www.broadinstitute.org/gsea/msigdb/cards/GOBP_NEURAL_NUCLEUS_DEVELOPMENT.html","GOBP_NEURAL_NUCLEUS_DEVELOPMENT")</f>
        <v>GOBP_NEURAL_NUCLEUS_DEVELOPMENT</v>
      </c>
      <c r="C5993" s="4">
        <v>26</v>
      </c>
      <c r="D5993" s="3">
        <v>-1.3050333000000001</v>
      </c>
      <c r="E5993" s="1">
        <v>0.117788464</v>
      </c>
      <c r="F5993" s="2">
        <v>0.31180740000000001</v>
      </c>
    </row>
    <row r="5994" spans="1:6" x14ac:dyDescent="0.25">
      <c r="A5994" t="s">
        <v>8</v>
      </c>
      <c r="B5994" s="5" t="str">
        <f>HYPERLINK("http://www.broadinstitute.org/gsea/msigdb/cards/GOMF_O_METHYLTRANSFERASE_ACTIVITY.html","GOMF_O_METHYLTRANSFERASE_ACTIVITY")</f>
        <v>GOMF_O_METHYLTRANSFERASE_ACTIVITY</v>
      </c>
      <c r="C5994" s="4">
        <v>23</v>
      </c>
      <c r="D5994" s="3">
        <v>-1.3060229000000001</v>
      </c>
      <c r="E5994" s="1">
        <v>0.11241218</v>
      </c>
      <c r="F5994" s="2">
        <v>0.31051891999999998</v>
      </c>
    </row>
    <row r="5995" spans="1:6" x14ac:dyDescent="0.25">
      <c r="A5995" t="s">
        <v>6</v>
      </c>
      <c r="B5995" s="5" t="str">
        <f>HYPERLINK("http://www.broadinstitute.org/gsea/msigdb/cards/GOBP_REGULATION_OF_CELLULAR_RESPIRATION.html","GOBP_REGULATION_OF_CELLULAR_RESPIRATION")</f>
        <v>GOBP_REGULATION_OF_CELLULAR_RESPIRATION</v>
      </c>
      <c r="C5995" s="4">
        <v>59</v>
      </c>
      <c r="D5995" s="3">
        <v>-1.3064248999999999</v>
      </c>
      <c r="E5995" s="1">
        <v>6.3888890000000004E-2</v>
      </c>
      <c r="F5995" s="2">
        <v>0.31027564000000002</v>
      </c>
    </row>
    <row r="5996" spans="1:6" x14ac:dyDescent="0.25">
      <c r="A5996" t="s">
        <v>10</v>
      </c>
      <c r="B5996" s="5" t="str">
        <f>HYPERLINK("http://www.broadinstitute.org/gsea/msigdb/cards/REACTOME_ACTIVATION_OF_NF_KAPPAB_IN_B_CELLS.html","REACTOME_ACTIVATION_OF_NF_KAPPAB_IN_B_CELLS")</f>
        <v>REACTOME_ACTIVATION_OF_NF_KAPPAB_IN_B_CELLS</v>
      </c>
      <c r="C5996" s="4">
        <v>64</v>
      </c>
      <c r="D5996" s="3">
        <v>-1.3065690000000001</v>
      </c>
      <c r="E5996" s="1">
        <v>5.1873200000000001E-2</v>
      </c>
      <c r="F5996" s="2">
        <v>0.31050401999999999</v>
      </c>
    </row>
    <row r="5997" spans="1:6" x14ac:dyDescent="0.25">
      <c r="A5997" t="s">
        <v>6</v>
      </c>
      <c r="B5997" s="5" t="str">
        <f>HYPERLINK("http://www.broadinstitute.org/gsea/msigdb/cards/GOBP_REGULATION_OF_MEGAKARYOCYTE_DIFFERENTIATION.html","GOBP_REGULATION_OF_MEGAKARYOCYTE_DIFFERENTIATION")</f>
        <v>GOBP_REGULATION_OF_MEGAKARYOCYTE_DIFFERENTIATION</v>
      </c>
      <c r="C5997" s="4">
        <v>22</v>
      </c>
      <c r="D5997" s="3">
        <v>-1.3075193000000001</v>
      </c>
      <c r="E5997" s="1">
        <v>0.12589073000000001</v>
      </c>
      <c r="F5997" s="2">
        <v>0.30925232000000002</v>
      </c>
    </row>
    <row r="5998" spans="1:6" x14ac:dyDescent="0.25">
      <c r="A5998" t="s">
        <v>6</v>
      </c>
      <c r="B5998" s="5" t="str">
        <f>HYPERLINK("http://www.broadinstitute.org/gsea/msigdb/cards/GOBP_RNA_CATABOLIC_PROCESS.html","GOBP_RNA_CATABOLIC_PROCESS")</f>
        <v>GOBP_RNA_CATABOLIC_PROCESS</v>
      </c>
      <c r="C5998" s="4">
        <v>279</v>
      </c>
      <c r="D5998" s="3">
        <v>-1.308438</v>
      </c>
      <c r="E5998" s="1">
        <v>7.6628349999999998E-3</v>
      </c>
      <c r="F5998" s="2">
        <v>0.30814334999999998</v>
      </c>
    </row>
    <row r="5999" spans="1:6" x14ac:dyDescent="0.25">
      <c r="A5999" t="s">
        <v>6</v>
      </c>
      <c r="B5999" s="5" t="str">
        <f>HYPERLINK("http://www.broadinstitute.org/gsea/msigdb/cards/GOBP_PROTEIN_LOCALIZATION_TO_CHROMOSOME_TELOMERIC_REGION.html","GOBP_PROTEIN_LOCALIZATION_TO_CHROMOSOME_TELOMERIC_REGION")</f>
        <v>GOBP_PROTEIN_LOCALIZATION_TO_CHROMOSOME_TELOMERIC_REGION</v>
      </c>
      <c r="C5999" s="4">
        <v>32</v>
      </c>
      <c r="D5999" s="3">
        <v>-1.3086903000000001</v>
      </c>
      <c r="E5999" s="1">
        <v>9.7035040000000003E-2</v>
      </c>
      <c r="F5999" s="2">
        <v>0.30814019999999998</v>
      </c>
    </row>
    <row r="6000" spans="1:6" x14ac:dyDescent="0.25">
      <c r="A6000" t="s">
        <v>6</v>
      </c>
      <c r="B6000" s="5" t="str">
        <f>HYPERLINK("http://www.broadinstitute.org/gsea/msigdb/cards/GOBP_REGULATION_OF_CELL_FATE_COMMITMENT.html","GOBP_REGULATION_OF_CELL_FATE_COMMITMENT")</f>
        <v>GOBP_REGULATION_OF_CELL_FATE_COMMITMENT</v>
      </c>
      <c r="C6000" s="4">
        <v>43</v>
      </c>
      <c r="D6000" s="3">
        <v>-1.3087548</v>
      </c>
      <c r="E6000" s="1">
        <v>7.1611254999999999E-2</v>
      </c>
      <c r="F6000" s="2">
        <v>0.30854458000000001</v>
      </c>
    </row>
    <row r="6001" spans="1:6" x14ac:dyDescent="0.25">
      <c r="A6001" t="s">
        <v>10</v>
      </c>
      <c r="B6001" s="5" t="str">
        <f>HYPERLINK("http://www.broadinstitute.org/gsea/msigdb/cards/REACTOME_FORMATION_OF_WDR5_CONTAINING_HISTONE_MODIFYING_COMPLEXES.html","REACTOME_FORMATION_OF_WDR5_CONTAINING_HISTONE_MODIFYING_COMPLEXES")</f>
        <v>REACTOME_FORMATION_OF_WDR5_CONTAINING_HISTONE_MODIFYING_COMPLEXES</v>
      </c>
      <c r="C6001" s="4">
        <v>38</v>
      </c>
      <c r="D6001" s="3">
        <v>-1.3091539999999999</v>
      </c>
      <c r="E6001" s="1">
        <v>9.2682929999999997E-2</v>
      </c>
      <c r="F6001" s="2">
        <v>0.30831500000000001</v>
      </c>
    </row>
    <row r="6002" spans="1:6" x14ac:dyDescent="0.25">
      <c r="A6002" t="s">
        <v>6</v>
      </c>
      <c r="B6002" s="5" t="str">
        <f>HYPERLINK("http://www.broadinstitute.org/gsea/msigdb/cards/GOBP_REGULATION_OF_ANDROGEN_RECEPTOR_SIGNALING_PATHWAY.html","GOBP_REGULATION_OF_ANDROGEN_RECEPTOR_SIGNALING_PATHWAY")</f>
        <v>GOBP_REGULATION_OF_ANDROGEN_RECEPTOR_SIGNALING_PATHWAY</v>
      </c>
      <c r="C6002" s="4">
        <v>26</v>
      </c>
      <c r="D6002" s="3">
        <v>-1.3104450999999999</v>
      </c>
      <c r="E6002" s="1">
        <v>0.11139241</v>
      </c>
      <c r="F6002" s="2">
        <v>0.30646570000000001</v>
      </c>
    </row>
    <row r="6003" spans="1:6" x14ac:dyDescent="0.25">
      <c r="A6003" t="s">
        <v>10</v>
      </c>
      <c r="B6003" s="5" t="str">
        <f>HYPERLINK("http://www.broadinstitute.org/gsea/msigdb/cards/REACTOME_GENE_SILENCING_BY_RNA.html","REACTOME_GENE_SILENCING_BY_RNA")</f>
        <v>REACTOME_GENE_SILENCING_BY_RNA</v>
      </c>
      <c r="C6003" s="4">
        <v>41</v>
      </c>
      <c r="D6003" s="3">
        <v>-1.3107438</v>
      </c>
      <c r="E6003" s="1">
        <v>9.2544989999999994E-2</v>
      </c>
      <c r="F6003" s="2">
        <v>0.30643221999999998</v>
      </c>
    </row>
    <row r="6004" spans="1:6" x14ac:dyDescent="0.25">
      <c r="A6004" t="s">
        <v>6</v>
      </c>
      <c r="B6004" s="5" t="str">
        <f>HYPERLINK("http://www.broadinstitute.org/gsea/msigdb/cards/GOBP_ACTIN_MEDIATED_CELL_CONTRACTION.html","GOBP_ACTIN_MEDIATED_CELL_CONTRACTION")</f>
        <v>GOBP_ACTIN_MEDIATED_CELL_CONTRACTION</v>
      </c>
      <c r="C6004" s="4">
        <v>100</v>
      </c>
      <c r="D6004" s="3">
        <v>-1.3111283</v>
      </c>
      <c r="E6004" s="1">
        <v>4.5845273999999998E-2</v>
      </c>
      <c r="F6004" s="2">
        <v>0.30619429999999997</v>
      </c>
    </row>
    <row r="6005" spans="1:6" x14ac:dyDescent="0.25">
      <c r="A6005" t="s">
        <v>6</v>
      </c>
      <c r="B6005" s="5" t="str">
        <f>HYPERLINK("http://www.broadinstitute.org/gsea/msigdb/cards/GOBP_PYRAMIDAL_NEURON_DIFFERENTIATION.html","GOBP_PYRAMIDAL_NEURON_DIFFERENTIATION")</f>
        <v>GOBP_PYRAMIDAL_NEURON_DIFFERENTIATION</v>
      </c>
      <c r="C6005" s="4">
        <v>18</v>
      </c>
      <c r="D6005" s="3">
        <v>-1.3124477000000001</v>
      </c>
      <c r="E6005" s="1">
        <v>0.116113745</v>
      </c>
      <c r="F6005" s="2">
        <v>0.30438169999999998</v>
      </c>
    </row>
    <row r="6006" spans="1:6" x14ac:dyDescent="0.25">
      <c r="A6006" t="s">
        <v>6</v>
      </c>
      <c r="B6006" s="5" t="str">
        <f>HYPERLINK("http://www.broadinstitute.org/gsea/msigdb/cards/GOBP_TRNA_WOBBLE_URIDINE_MODIFICATION.html","GOBP_TRNA_WOBBLE_URIDINE_MODIFICATION")</f>
        <v>GOBP_TRNA_WOBBLE_URIDINE_MODIFICATION</v>
      </c>
      <c r="C6006" s="4">
        <v>16</v>
      </c>
      <c r="D6006" s="3">
        <v>-1.3126496999999999</v>
      </c>
      <c r="E6006" s="1">
        <v>0.12412178</v>
      </c>
      <c r="F6006" s="2">
        <v>0.30454110000000001</v>
      </c>
    </row>
    <row r="6007" spans="1:6" x14ac:dyDescent="0.25">
      <c r="A6007" t="s">
        <v>7</v>
      </c>
      <c r="B6007" s="5" t="str">
        <f>HYPERLINK("http://www.broadinstitute.org/gsea/msigdb/cards/GOCC_CARBOXY_TERMINAL_DOMAIN_PROTEIN_KINASE_COMPLEX.html","GOCC_CARBOXY_TERMINAL_DOMAIN_PROTEIN_KINASE_COMPLEX")</f>
        <v>GOCC_CARBOXY_TERMINAL_DOMAIN_PROTEIN_KINASE_COMPLEX</v>
      </c>
      <c r="C6007" s="4">
        <v>22</v>
      </c>
      <c r="D6007" s="3">
        <v>-1.3130945000000001</v>
      </c>
      <c r="E6007" s="1">
        <v>0.10874704</v>
      </c>
      <c r="F6007" s="2">
        <v>0.30423895000000001</v>
      </c>
    </row>
    <row r="6008" spans="1:6" x14ac:dyDescent="0.25">
      <c r="A6008" t="s">
        <v>6</v>
      </c>
      <c r="B6008" s="5" t="str">
        <f>HYPERLINK("http://www.broadinstitute.org/gsea/msigdb/cards/GOBP_EXPLORATION_BEHAVIOR.html","GOBP_EXPLORATION_BEHAVIOR")</f>
        <v>GOBP_EXPLORATION_BEHAVIOR</v>
      </c>
      <c r="C6008" s="4">
        <v>40</v>
      </c>
      <c r="D6008" s="3">
        <v>-1.3132121999999999</v>
      </c>
      <c r="E6008" s="1">
        <v>8.6956519999999995E-2</v>
      </c>
      <c r="F6008" s="2">
        <v>0.30452466</v>
      </c>
    </row>
    <row r="6009" spans="1:6" x14ac:dyDescent="0.25">
      <c r="A6009" t="s">
        <v>11</v>
      </c>
      <c r="B6009" s="5" t="str">
        <f>HYPERLINK("http://www.broadinstitute.org/gsea/msigdb/cards/WP_WNT_SIGNALING_PATHWAY_WP539.html","WP_WNT_SIGNALING_PATHWAY_WP539")</f>
        <v>WP_WNT_SIGNALING_PATHWAY_WP539</v>
      </c>
      <c r="C6009" s="4">
        <v>108</v>
      </c>
      <c r="D6009" s="3">
        <v>-1.3146572000000001</v>
      </c>
      <c r="E6009" s="1">
        <v>3.9886039999999998E-2</v>
      </c>
      <c r="F6009" s="2">
        <v>0.30245485999999999</v>
      </c>
    </row>
    <row r="6010" spans="1:6" x14ac:dyDescent="0.25">
      <c r="A6010" t="s">
        <v>6</v>
      </c>
      <c r="B6010" s="5" t="str">
        <f>HYPERLINK("http://www.broadinstitute.org/gsea/msigdb/cards/GOBP_REGULATION_OF_NEURON_DIFFERENTIATION.html","GOBP_REGULATION_OF_NEURON_DIFFERENTIATION")</f>
        <v>GOBP_REGULATION_OF_NEURON_DIFFERENTIATION</v>
      </c>
      <c r="C6010" s="4">
        <v>229</v>
      </c>
      <c r="D6010" s="3">
        <v>-1.3173391000000001</v>
      </c>
      <c r="E6010" s="1">
        <v>2.4561402999999999E-2</v>
      </c>
      <c r="F6010" s="2">
        <v>0.29819462000000002</v>
      </c>
    </row>
    <row r="6011" spans="1:6" x14ac:dyDescent="0.25">
      <c r="A6011" t="s">
        <v>6</v>
      </c>
      <c r="B6011" s="5" t="str">
        <f>HYPERLINK("http://www.broadinstitute.org/gsea/msigdb/cards/GOBP_MESENCHYMAL_CELL_APOPTOTIC_PROCESS.html","GOBP_MESENCHYMAL_CELL_APOPTOTIC_PROCESS")</f>
        <v>GOBP_MESENCHYMAL_CELL_APOPTOTIC_PROCESS</v>
      </c>
      <c r="C6011" s="4">
        <v>16</v>
      </c>
      <c r="D6011" s="3">
        <v>-1.3177380000000001</v>
      </c>
      <c r="E6011" s="1">
        <v>0.13054188</v>
      </c>
      <c r="F6011" s="2">
        <v>0.29795566000000001</v>
      </c>
    </row>
    <row r="6012" spans="1:6" x14ac:dyDescent="0.25">
      <c r="A6012" t="s">
        <v>7</v>
      </c>
      <c r="B6012" s="5" t="str">
        <f>HYPERLINK("http://www.broadinstitute.org/gsea/msigdb/cards/GOCC_RIBONUCLEOPROTEIN_GRANULE.html","GOCC_RIBONUCLEOPROTEIN_GRANULE")</f>
        <v>GOCC_RIBONUCLEOPROTEIN_GRANULE</v>
      </c>
      <c r="C6012" s="4">
        <v>257</v>
      </c>
      <c r="D6012" s="3">
        <v>-1.3182505</v>
      </c>
      <c r="E6012" s="1">
        <v>7.7220075999999997E-3</v>
      </c>
      <c r="F6012" s="2">
        <v>0.29747235999999999</v>
      </c>
    </row>
    <row r="6013" spans="1:6" x14ac:dyDescent="0.25">
      <c r="A6013" t="s">
        <v>6</v>
      </c>
      <c r="B6013" s="5" t="str">
        <f>HYPERLINK("http://www.broadinstitute.org/gsea/msigdb/cards/GOBP_REGULATION_OF_CHROMOSOME_ORGANIZATION.html","GOBP_REGULATION_OF_CHROMOSOME_ORGANIZATION")</f>
        <v>GOBP_REGULATION_OF_CHROMOSOME_ORGANIZATION</v>
      </c>
      <c r="C6013" s="4">
        <v>240</v>
      </c>
      <c r="D6013" s="3">
        <v>-1.3186209</v>
      </c>
      <c r="E6013" s="1">
        <v>1.1070111000000001E-2</v>
      </c>
      <c r="F6013" s="2">
        <v>0.29727882</v>
      </c>
    </row>
    <row r="6014" spans="1:6" x14ac:dyDescent="0.25">
      <c r="A6014" t="s">
        <v>7</v>
      </c>
      <c r="B6014" s="5" t="str">
        <f>HYPERLINK("http://www.broadinstitute.org/gsea/msigdb/cards/GOCC_TRANSFERASE_COMPLEX_TRANSFERRING_PHOSPHORUS_CONTAINING_GROUPS.html","GOCC_TRANSFERASE_COMPLEX_TRANSFERRING_PHOSPHORUS_CONTAINING_GROUPS")</f>
        <v>GOCC_TRANSFERASE_COMPLEX_TRANSFERRING_PHOSPHORUS_CONTAINING_GROUPS</v>
      </c>
      <c r="C6014" s="4">
        <v>277</v>
      </c>
      <c r="D6014" s="3">
        <v>-1.3194618</v>
      </c>
      <c r="E6014" s="1">
        <v>3.8759689999999999E-3</v>
      </c>
      <c r="F6014" s="2">
        <v>0.29622581999999997</v>
      </c>
    </row>
    <row r="6015" spans="1:6" x14ac:dyDescent="0.25">
      <c r="A6015" t="s">
        <v>6</v>
      </c>
      <c r="B6015" s="5" t="str">
        <f>HYPERLINK("http://www.broadinstitute.org/gsea/msigdb/cards/GOBP_PROTEIN_HETEROTETRAMERIZATION.html","GOBP_PROTEIN_HETEROTETRAMERIZATION")</f>
        <v>GOBP_PROTEIN_HETEROTETRAMERIZATION</v>
      </c>
      <c r="C6015" s="4">
        <v>15</v>
      </c>
      <c r="D6015" s="3">
        <v>-1.3199966000000001</v>
      </c>
      <c r="E6015" s="1">
        <v>0.15473442000000001</v>
      </c>
      <c r="F6015" s="2">
        <v>0.29574713000000002</v>
      </c>
    </row>
    <row r="6016" spans="1:6" x14ac:dyDescent="0.25">
      <c r="A6016" t="s">
        <v>6</v>
      </c>
      <c r="B6016" s="5" t="str">
        <f>HYPERLINK("http://www.broadinstitute.org/gsea/msigdb/cards/GOBP_RELEASE_OF_SEQUESTERED_CALCIUM_ION_INTO_CYTOSOL_BY_ENDOPLASMIC_RETICULUM.html","GOBP_RELEASE_OF_SEQUESTERED_CALCIUM_ION_INTO_CYTOSOL_BY_ENDOPLASMIC_RETICULUM")</f>
        <v>GOBP_RELEASE_OF_SEQUESTERED_CALCIUM_ION_INTO_CYTOSOL_BY_ENDOPLASMIC_RETICULUM</v>
      </c>
      <c r="C6016" s="4">
        <v>27</v>
      </c>
      <c r="D6016" s="3">
        <v>-1.3207116999999999</v>
      </c>
      <c r="E6016" s="1">
        <v>0.11347517</v>
      </c>
      <c r="F6016" s="2">
        <v>0.29497596999999998</v>
      </c>
    </row>
    <row r="6017" spans="1:6" x14ac:dyDescent="0.25">
      <c r="A6017" t="s">
        <v>8</v>
      </c>
      <c r="B6017" s="5" t="str">
        <f>HYPERLINK("http://www.broadinstitute.org/gsea/msigdb/cards/GOMF_TRANSLATION_REGULATOR_ACTIVITY.html","GOMF_TRANSLATION_REGULATOR_ACTIVITY")</f>
        <v>GOMF_TRANSLATION_REGULATOR_ACTIVITY</v>
      </c>
      <c r="C6017" s="4">
        <v>124</v>
      </c>
      <c r="D6017" s="3">
        <v>-1.3207723</v>
      </c>
      <c r="E6017" s="1">
        <v>2.7108435E-2</v>
      </c>
      <c r="F6017" s="2">
        <v>0.29537973000000001</v>
      </c>
    </row>
    <row r="6018" spans="1:6" x14ac:dyDescent="0.25">
      <c r="A6018" t="s">
        <v>6</v>
      </c>
      <c r="B6018" s="5" t="str">
        <f>HYPERLINK("http://www.broadinstitute.org/gsea/msigdb/cards/GOBP_ANTEROGRADE_AXONAL_TRANSPORT.html","GOBP_ANTEROGRADE_AXONAL_TRANSPORT")</f>
        <v>GOBP_ANTEROGRADE_AXONAL_TRANSPORT</v>
      </c>
      <c r="C6018" s="4">
        <v>53</v>
      </c>
      <c r="D6018" s="3">
        <v>-1.3211565999999999</v>
      </c>
      <c r="E6018" s="1">
        <v>9.5717885000000003E-2</v>
      </c>
      <c r="F6018" s="2">
        <v>0.29525024</v>
      </c>
    </row>
    <row r="6019" spans="1:6" x14ac:dyDescent="0.25">
      <c r="A6019" t="s">
        <v>6</v>
      </c>
      <c r="B6019" s="5" t="str">
        <f>HYPERLINK("http://www.broadinstitute.org/gsea/msigdb/cards/GOBP_REGULATION_OF_DNA_BINDING.html","GOBP_REGULATION_OF_DNA_BINDING")</f>
        <v>GOBP_REGULATION_OF_DNA_BINDING</v>
      </c>
      <c r="C6019" s="4">
        <v>121</v>
      </c>
      <c r="D6019" s="3">
        <v>-1.3217148000000001</v>
      </c>
      <c r="E6019" s="1">
        <v>0.04</v>
      </c>
      <c r="F6019" s="2">
        <v>0.29475849999999998</v>
      </c>
    </row>
    <row r="6020" spans="1:6" x14ac:dyDescent="0.25">
      <c r="A6020" t="s">
        <v>6</v>
      </c>
      <c r="B6020" s="5" t="str">
        <f>HYPERLINK("http://www.broadinstitute.org/gsea/msigdb/cards/GOBP_CENTRAL_NERVOUS_SYSTEM_PROJECTION_NEURON_AXONOGENESIS.html","GOBP_CENTRAL_NERVOUS_SYSTEM_PROJECTION_NEURON_AXONOGENESIS")</f>
        <v>GOBP_CENTRAL_NERVOUS_SYSTEM_PROJECTION_NEURON_AXONOGENESIS</v>
      </c>
      <c r="C6020" s="4">
        <v>32</v>
      </c>
      <c r="D6020" s="3">
        <v>-1.3225081000000001</v>
      </c>
      <c r="E6020" s="1">
        <v>0.102756895</v>
      </c>
      <c r="F6020" s="2">
        <v>0.29385576000000002</v>
      </c>
    </row>
    <row r="6021" spans="1:6" x14ac:dyDescent="0.25">
      <c r="A6021" t="s">
        <v>6</v>
      </c>
      <c r="B6021" s="5" t="str">
        <f>HYPERLINK("http://www.broadinstitute.org/gsea/msigdb/cards/GOBP_MAMMARY_GLAND_EPITHELIAL_CELL_PROLIFERATION.html","GOBP_MAMMARY_GLAND_EPITHELIAL_CELL_PROLIFERATION")</f>
        <v>GOBP_MAMMARY_GLAND_EPITHELIAL_CELL_PROLIFERATION</v>
      </c>
      <c r="C6021" s="4">
        <v>32</v>
      </c>
      <c r="D6021" s="3">
        <v>-1.3245298000000001</v>
      </c>
      <c r="E6021" s="1">
        <v>8.5995085999999998E-2</v>
      </c>
      <c r="F6021" s="2">
        <v>0.29102319999999998</v>
      </c>
    </row>
    <row r="6022" spans="1:6" x14ac:dyDescent="0.25">
      <c r="A6022" t="s">
        <v>10</v>
      </c>
      <c r="B6022" s="5" t="str">
        <f>HYPERLINK("http://www.broadinstitute.org/gsea/msigdb/cards/REACTOME_PKMTS_METHYLATE_HISTONE_LYSINES.html","REACTOME_PKMTS_METHYLATE_HISTONE_LYSINES")</f>
        <v>REACTOME_PKMTS_METHYLATE_HISTONE_LYSINES</v>
      </c>
      <c r="C6022" s="4">
        <v>65</v>
      </c>
      <c r="D6022" s="3">
        <v>-1.3245845000000001</v>
      </c>
      <c r="E6022" s="1">
        <v>7.8804349999999995E-2</v>
      </c>
      <c r="F6022" s="2">
        <v>0.29142240000000003</v>
      </c>
    </row>
    <row r="6023" spans="1:6" x14ac:dyDescent="0.25">
      <c r="A6023" t="s">
        <v>8</v>
      </c>
      <c r="B6023" s="5" t="str">
        <f>HYPERLINK("http://www.broadinstitute.org/gsea/msigdb/cards/GOMF_HISTONE_H4_METHYLTRANSFERASE_ACTIVITY.html","GOMF_HISTONE_H4_METHYLTRANSFERASE_ACTIVITY")</f>
        <v>GOMF_HISTONE_H4_METHYLTRANSFERASE_ACTIVITY</v>
      </c>
      <c r="C6023" s="4">
        <v>15</v>
      </c>
      <c r="D6023" s="3">
        <v>-1.3254416</v>
      </c>
      <c r="E6023" s="1">
        <v>0.14184397000000001</v>
      </c>
      <c r="F6023" s="2">
        <v>0.29043796999999999</v>
      </c>
    </row>
    <row r="6024" spans="1:6" x14ac:dyDescent="0.25">
      <c r="A6024" t="s">
        <v>6</v>
      </c>
      <c r="B6024" s="5" t="str">
        <f>HYPERLINK("http://www.broadinstitute.org/gsea/msigdb/cards/GOBP_INHIBITORY_POSTSYNAPTIC_POTENTIAL.html","GOBP_INHIBITORY_POSTSYNAPTIC_POTENTIAL")</f>
        <v>GOBP_INHIBITORY_POSTSYNAPTIC_POTENTIAL</v>
      </c>
      <c r="C6024" s="4">
        <v>25</v>
      </c>
      <c r="D6024" s="3">
        <v>-1.3255547999999999</v>
      </c>
      <c r="E6024" s="1">
        <v>9.4252879999999997E-2</v>
      </c>
      <c r="F6024" s="2">
        <v>0.29074677999999998</v>
      </c>
    </row>
    <row r="6025" spans="1:6" x14ac:dyDescent="0.25">
      <c r="A6025" t="s">
        <v>7</v>
      </c>
      <c r="B6025" s="5" t="str">
        <f>HYPERLINK("http://www.broadinstitute.org/gsea/msigdb/cards/GOCC_SPERM_PLASMA_MEMBRANE.html","GOCC_SPERM_PLASMA_MEMBRANE")</f>
        <v>GOCC_SPERM_PLASMA_MEMBRANE</v>
      </c>
      <c r="C6025" s="4">
        <v>17</v>
      </c>
      <c r="D6025" s="3">
        <v>-1.3256878000000001</v>
      </c>
      <c r="E6025" s="1">
        <v>0.13288288000000001</v>
      </c>
      <c r="F6025" s="2">
        <v>0.29099750000000002</v>
      </c>
    </row>
    <row r="6026" spans="1:6" x14ac:dyDescent="0.25">
      <c r="A6026" t="s">
        <v>6</v>
      </c>
      <c r="B6026" s="5" t="str">
        <f>HYPERLINK("http://www.broadinstitute.org/gsea/msigdb/cards/GOBP_REGULATION_OF_MUSCLE_HYPERTROPHY.html","GOBP_REGULATION_OF_MUSCLE_HYPERTROPHY")</f>
        <v>GOBP_REGULATION_OF_MUSCLE_HYPERTROPHY</v>
      </c>
      <c r="C6026" s="4">
        <v>81</v>
      </c>
      <c r="D6026" s="3">
        <v>-1.3268049</v>
      </c>
      <c r="E6026" s="1">
        <v>6.5340910000000002E-2</v>
      </c>
      <c r="F6026" s="2">
        <v>0.28950608</v>
      </c>
    </row>
    <row r="6027" spans="1:6" x14ac:dyDescent="0.25">
      <c r="A6027" t="s">
        <v>6</v>
      </c>
      <c r="B6027" s="5" t="str">
        <f>HYPERLINK("http://www.broadinstitute.org/gsea/msigdb/cards/GOBP_PROTON_TRANSMEMBRANE_TRANSPORT.html","GOBP_PROTON_TRANSMEMBRANE_TRANSPORT")</f>
        <v>GOBP_PROTON_TRANSMEMBRANE_TRANSPORT</v>
      </c>
      <c r="C6027" s="4">
        <v>111</v>
      </c>
      <c r="D6027" s="3">
        <v>-1.3271781</v>
      </c>
      <c r="E6027" s="1">
        <v>2.8753994000000001E-2</v>
      </c>
      <c r="F6027" s="2">
        <v>0.28931190000000001</v>
      </c>
    </row>
    <row r="6028" spans="1:6" x14ac:dyDescent="0.25">
      <c r="A6028" t="s">
        <v>10</v>
      </c>
      <c r="B6028" s="5" t="str">
        <f>HYPERLINK("http://www.broadinstitute.org/gsea/msigdb/cards/REACTOME_HDACS_DEACETYLATE_HISTONES.html","REACTOME_HDACS_DEACETYLATE_HISTONES")</f>
        <v>REACTOME_HDACS_DEACETYLATE_HISTONES</v>
      </c>
      <c r="C6028" s="4">
        <v>22</v>
      </c>
      <c r="D6028" s="3">
        <v>-1.3272505000000001</v>
      </c>
      <c r="E6028" s="1">
        <v>0.10249999999999999</v>
      </c>
      <c r="F6028" s="2">
        <v>0.28964859999999998</v>
      </c>
    </row>
    <row r="6029" spans="1:6" x14ac:dyDescent="0.25">
      <c r="A6029" t="s">
        <v>6</v>
      </c>
      <c r="B6029" s="5" t="str">
        <f>HYPERLINK("http://www.broadinstitute.org/gsea/msigdb/cards/GOBP_HOMOLOGOUS_CHROMOSOME_SEGREGATION.html","GOBP_HOMOLOGOUS_CHROMOSOME_SEGREGATION")</f>
        <v>GOBP_HOMOLOGOUS_CHROMOSOME_SEGREGATION</v>
      </c>
      <c r="C6029" s="4">
        <v>69</v>
      </c>
      <c r="D6029" s="3">
        <v>-1.3275053999999999</v>
      </c>
      <c r="E6029" s="1">
        <v>4.3126683999999998E-2</v>
      </c>
      <c r="F6029" s="2">
        <v>0.28969830000000002</v>
      </c>
    </row>
    <row r="6030" spans="1:6" x14ac:dyDescent="0.25">
      <c r="A6030" t="s">
        <v>6</v>
      </c>
      <c r="B6030" s="5" t="str">
        <f>HYPERLINK("http://www.broadinstitute.org/gsea/msigdb/cards/GOBP_CENTRAL_NERVOUS_SYSTEM_NEURON_DIFFERENTIATION.html","GOBP_CENTRAL_NERVOUS_SYSTEM_NEURON_DIFFERENTIATION")</f>
        <v>GOBP_CENTRAL_NERVOUS_SYSTEM_NEURON_DIFFERENTIATION</v>
      </c>
      <c r="C6030" s="4">
        <v>205</v>
      </c>
      <c r="D6030" s="3">
        <v>-1.3278382</v>
      </c>
      <c r="E6030" s="1">
        <v>1.4652014999999999E-2</v>
      </c>
      <c r="F6030" s="2">
        <v>0.28959017999999997</v>
      </c>
    </row>
    <row r="6031" spans="1:6" x14ac:dyDescent="0.25">
      <c r="A6031" t="s">
        <v>6</v>
      </c>
      <c r="B6031" s="5" t="str">
        <f>HYPERLINK("http://www.broadinstitute.org/gsea/msigdb/cards/GOBP_MATURATION_OF_SSU_RRNA.html","GOBP_MATURATION_OF_SSU_RRNA")</f>
        <v>GOBP_MATURATION_OF_SSU_RRNA</v>
      </c>
      <c r="C6031" s="4">
        <v>45</v>
      </c>
      <c r="D6031" s="3">
        <v>-1.3279650000000001</v>
      </c>
      <c r="E6031" s="1">
        <v>6.6852369999999994E-2</v>
      </c>
      <c r="F6031" s="2">
        <v>0.28986198000000002</v>
      </c>
    </row>
    <row r="6032" spans="1:6" x14ac:dyDescent="0.25">
      <c r="A6032" t="s">
        <v>6</v>
      </c>
      <c r="B6032" s="5" t="str">
        <f>HYPERLINK("http://www.broadinstitute.org/gsea/msigdb/cards/GOBP_AUTONOMIC_NERVOUS_SYSTEM_DEVELOPMENT.html","GOBP_AUTONOMIC_NERVOUS_SYSTEM_DEVELOPMENT")</f>
        <v>GOBP_AUTONOMIC_NERVOUS_SYSTEM_DEVELOPMENT</v>
      </c>
      <c r="C6032" s="4">
        <v>49</v>
      </c>
      <c r="D6032" s="3">
        <v>-1.3280565</v>
      </c>
      <c r="E6032" s="1">
        <v>6.5162904999999993E-2</v>
      </c>
      <c r="F6032" s="2">
        <v>0.29021780000000003</v>
      </c>
    </row>
    <row r="6033" spans="1:6" x14ac:dyDescent="0.25">
      <c r="A6033" t="s">
        <v>7</v>
      </c>
      <c r="B6033" s="5" t="str">
        <f>HYPERLINK("http://www.broadinstitute.org/gsea/msigdb/cards/GOCC_ORGANELLE_ENVELOPE_LUMEN.html","GOCC_ORGANELLE_ENVELOPE_LUMEN")</f>
        <v>GOCC_ORGANELLE_ENVELOPE_LUMEN</v>
      </c>
      <c r="C6033" s="4">
        <v>78</v>
      </c>
      <c r="D6033" s="3">
        <v>-1.3281935</v>
      </c>
      <c r="E6033" s="1">
        <v>5.4404143000000002E-2</v>
      </c>
      <c r="F6033" s="2">
        <v>0.29045680000000001</v>
      </c>
    </row>
    <row r="6034" spans="1:6" x14ac:dyDescent="0.25">
      <c r="A6034" t="s">
        <v>6</v>
      </c>
      <c r="B6034" s="5" t="str">
        <f>HYPERLINK("http://www.broadinstitute.org/gsea/msigdb/cards/GOBP_NEURONAL_ACTION_POTENTIAL.html","GOBP_NEURONAL_ACTION_POTENTIAL")</f>
        <v>GOBP_NEURONAL_ACTION_POTENTIAL</v>
      </c>
      <c r="C6034" s="4">
        <v>57</v>
      </c>
      <c r="D6034" s="3">
        <v>-1.3285621000000001</v>
      </c>
      <c r="E6034" s="1">
        <v>6.6844920000000002E-2</v>
      </c>
      <c r="F6034" s="2">
        <v>0.29030460000000002</v>
      </c>
    </row>
    <row r="6035" spans="1:6" x14ac:dyDescent="0.25">
      <c r="A6035" t="s">
        <v>6</v>
      </c>
      <c r="B6035" s="5" t="str">
        <f>HYPERLINK("http://www.broadinstitute.org/gsea/msigdb/cards/GOBP_TELOMERE_MAINTENANCE_IN_RESPONSE_TO_DNA_DAMAGE.html","GOBP_TELOMERE_MAINTENANCE_IN_RESPONSE_TO_DNA_DAMAGE")</f>
        <v>GOBP_TELOMERE_MAINTENANCE_IN_RESPONSE_TO_DNA_DAMAGE</v>
      </c>
      <c r="C6035" s="4">
        <v>31</v>
      </c>
      <c r="D6035" s="3">
        <v>-1.3288519999999999</v>
      </c>
      <c r="E6035" s="1">
        <v>7.9207920000000001E-2</v>
      </c>
      <c r="F6035" s="2">
        <v>0.29027900000000001</v>
      </c>
    </row>
    <row r="6036" spans="1:6" x14ac:dyDescent="0.25">
      <c r="A6036" t="s">
        <v>6</v>
      </c>
      <c r="B6036" s="5" t="str">
        <f>HYPERLINK("http://www.broadinstitute.org/gsea/msigdb/cards/GOBP_APPENDAGE_DEVELOPMENT.html","GOBP_APPENDAGE_DEVELOPMENT")</f>
        <v>GOBP_APPENDAGE_DEVELOPMENT</v>
      </c>
      <c r="C6036" s="4">
        <v>207</v>
      </c>
      <c r="D6036" s="3">
        <v>-1.3291318000000001</v>
      </c>
      <c r="E6036" s="1">
        <v>9.8039219999999996E-3</v>
      </c>
      <c r="F6036" s="2">
        <v>0.29026368000000002</v>
      </c>
    </row>
    <row r="6037" spans="1:6" x14ac:dyDescent="0.25">
      <c r="A6037" t="s">
        <v>8</v>
      </c>
      <c r="B6037" s="5" t="str">
        <f>HYPERLINK("http://www.broadinstitute.org/gsea/msigdb/cards/GOMF_TRANSCRIPTION_REGULATOR_INHIBITOR_ACTIVITY.html","GOMF_TRANSCRIPTION_REGULATOR_INHIBITOR_ACTIVITY")</f>
        <v>GOMF_TRANSCRIPTION_REGULATOR_INHIBITOR_ACTIVITY</v>
      </c>
      <c r="C6037" s="4">
        <v>23</v>
      </c>
      <c r="D6037" s="3">
        <v>-1.3296895</v>
      </c>
      <c r="E6037" s="1">
        <v>0.10148515</v>
      </c>
      <c r="F6037" s="2">
        <v>0.28983523999999999</v>
      </c>
    </row>
    <row r="6038" spans="1:6" x14ac:dyDescent="0.25">
      <c r="A6038" t="s">
        <v>6</v>
      </c>
      <c r="B6038" s="5" t="str">
        <f>HYPERLINK("http://www.broadinstitute.org/gsea/msigdb/cards/GOBP_TELOMERE_ORGANIZATION.html","GOBP_TELOMERE_ORGANIZATION")</f>
        <v>GOBP_TELOMERE_ORGANIZATION</v>
      </c>
      <c r="C6038" s="4">
        <v>148</v>
      </c>
      <c r="D6038" s="3">
        <v>-1.3298041</v>
      </c>
      <c r="E6038" s="1">
        <v>3.2258064E-3</v>
      </c>
      <c r="F6038" s="2">
        <v>0.29013171999999998</v>
      </c>
    </row>
    <row r="6039" spans="1:6" x14ac:dyDescent="0.25">
      <c r="A6039" t="s">
        <v>8</v>
      </c>
      <c r="B6039" s="5" t="str">
        <f>HYPERLINK("http://www.broadinstitute.org/gsea/msigdb/cards/GOMF_CHROMATIN_DNA_BINDING.html","GOMF_CHROMATIN_DNA_BINDING")</f>
        <v>GOMF_CHROMATIN_DNA_BINDING</v>
      </c>
      <c r="C6039" s="4">
        <v>112</v>
      </c>
      <c r="D6039" s="3">
        <v>-1.3305693000000001</v>
      </c>
      <c r="E6039" s="1">
        <v>4.075235E-2</v>
      </c>
      <c r="F6039" s="2">
        <v>0.28932165999999998</v>
      </c>
    </row>
    <row r="6040" spans="1:6" x14ac:dyDescent="0.25">
      <c r="A6040" t="s">
        <v>6</v>
      </c>
      <c r="B6040" s="5" t="str">
        <f>HYPERLINK("http://www.broadinstitute.org/gsea/msigdb/cards/GOBP_RESPONSE_TO_MAGNESIUM_ION.html","GOBP_RESPONSE_TO_MAGNESIUM_ION")</f>
        <v>GOBP_RESPONSE_TO_MAGNESIUM_ION</v>
      </c>
      <c r="C6040" s="4">
        <v>16</v>
      </c>
      <c r="D6040" s="3">
        <v>-1.3309218</v>
      </c>
      <c r="E6040" s="1">
        <v>0.11881187999999999</v>
      </c>
      <c r="F6040" s="2">
        <v>0.28923149999999997</v>
      </c>
    </row>
    <row r="6041" spans="1:6" x14ac:dyDescent="0.25">
      <c r="A6041" t="s">
        <v>6</v>
      </c>
      <c r="B6041" s="5" t="str">
        <f>HYPERLINK("http://www.broadinstitute.org/gsea/msigdb/cards/GOBP_MUSCLE_CELL_DEVELOPMENT.html","GOBP_MUSCLE_CELL_DEVELOPMENT")</f>
        <v>GOBP_MUSCLE_CELL_DEVELOPMENT</v>
      </c>
      <c r="C6041" s="4">
        <v>224</v>
      </c>
      <c r="D6041" s="3">
        <v>-1.3311217</v>
      </c>
      <c r="E6041" s="1">
        <v>6.7567570000000004E-3</v>
      </c>
      <c r="F6041" s="2">
        <v>0.28934823999999998</v>
      </c>
    </row>
    <row r="6042" spans="1:6" x14ac:dyDescent="0.25">
      <c r="A6042" t="s">
        <v>10</v>
      </c>
      <c r="B6042" s="5" t="str">
        <f>HYPERLINK("http://www.broadinstitute.org/gsea/msigdb/cards/REACTOME_TELOMERE_MAINTENANCE.html","REACTOME_TELOMERE_MAINTENANCE")</f>
        <v>REACTOME_TELOMERE_MAINTENANCE</v>
      </c>
      <c r="C6042" s="4">
        <v>49</v>
      </c>
      <c r="D6042" s="3">
        <v>-1.3314903</v>
      </c>
      <c r="E6042" s="1">
        <v>6.7357509999999995E-2</v>
      </c>
      <c r="F6042" s="2">
        <v>0.28926453000000002</v>
      </c>
    </row>
    <row r="6043" spans="1:6" x14ac:dyDescent="0.25">
      <c r="A6043" t="s">
        <v>6</v>
      </c>
      <c r="B6043" s="5" t="str">
        <f>HYPERLINK("http://www.broadinstitute.org/gsea/msigdb/cards/GOBP_CELLULAR_MODIFIED_AMINO_ACID_BIOSYNTHETIC_PROCESS.html","GOBP_CELLULAR_MODIFIED_AMINO_ACID_BIOSYNTHETIC_PROCESS")</f>
        <v>GOBP_CELLULAR_MODIFIED_AMINO_ACID_BIOSYNTHETIC_PROCESS</v>
      </c>
      <c r="C6043" s="4">
        <v>23</v>
      </c>
      <c r="D6043" s="3">
        <v>-1.3332900000000001</v>
      </c>
      <c r="E6043" s="1">
        <v>0.10617284</v>
      </c>
      <c r="F6043" s="2">
        <v>0.2867304</v>
      </c>
    </row>
    <row r="6044" spans="1:6" x14ac:dyDescent="0.25">
      <c r="A6044" t="s">
        <v>7</v>
      </c>
      <c r="B6044" s="5" t="str">
        <f>HYPERLINK("http://www.broadinstitute.org/gsea/msigdb/cards/GOCC_CATION_CHANNEL_COMPLEX.html","GOCC_CATION_CHANNEL_COMPLEX")</f>
        <v>GOCC_CATION_CHANNEL_COMPLEX</v>
      </c>
      <c r="C6044" s="4">
        <v>184</v>
      </c>
      <c r="D6044" s="3">
        <v>-1.3335828999999999</v>
      </c>
      <c r="E6044" s="1">
        <v>6.9930069999999999E-3</v>
      </c>
      <c r="F6044" s="2">
        <v>0.28669539999999999</v>
      </c>
    </row>
    <row r="6045" spans="1:6" x14ac:dyDescent="0.25">
      <c r="A6045" t="s">
        <v>8</v>
      </c>
      <c r="B6045" s="5" t="str">
        <f>HYPERLINK("http://www.broadinstitute.org/gsea/msigdb/cards/GOMF_NADPH_BINDING.html","GOMF_NADPH_BINDING")</f>
        <v>GOMF_NADPH_BINDING</v>
      </c>
      <c r="C6045" s="4">
        <v>17</v>
      </c>
      <c r="D6045" s="3">
        <v>-1.3341190999999999</v>
      </c>
      <c r="E6045" s="1">
        <v>0.13054188</v>
      </c>
      <c r="F6045" s="2">
        <v>0.28624704000000001</v>
      </c>
    </row>
    <row r="6046" spans="1:6" x14ac:dyDescent="0.25">
      <c r="A6046" t="s">
        <v>8</v>
      </c>
      <c r="B6046" s="5" t="str">
        <f>HYPERLINK("http://www.broadinstitute.org/gsea/msigdb/cards/GOMF_TRANSLATION_INITIATION_FACTOR_BINDING.html","GOMF_TRANSLATION_INITIATION_FACTOR_BINDING")</f>
        <v>GOMF_TRANSLATION_INITIATION_FACTOR_BINDING</v>
      </c>
      <c r="C6046" s="4">
        <v>37</v>
      </c>
      <c r="D6046" s="3">
        <v>-1.3342749</v>
      </c>
      <c r="E6046" s="1">
        <v>7.4550130000000006E-2</v>
      </c>
      <c r="F6046" s="2">
        <v>0.28649377999999998</v>
      </c>
    </row>
    <row r="6047" spans="1:6" x14ac:dyDescent="0.25">
      <c r="A6047" t="s">
        <v>8</v>
      </c>
      <c r="B6047" s="5" t="str">
        <f>HYPERLINK("http://www.broadinstitute.org/gsea/msigdb/cards/GOMF_HISTONE_METHYLTRANSFERASE_ACTIVITY.html","GOMF_HISTONE_METHYLTRANSFERASE_ACTIVITY")</f>
        <v>GOMF_HISTONE_METHYLTRANSFERASE_ACTIVITY</v>
      </c>
      <c r="C6047" s="4">
        <v>55</v>
      </c>
      <c r="D6047" s="3">
        <v>-1.3343582</v>
      </c>
      <c r="E6047" s="1">
        <v>7.2681700000000002E-2</v>
      </c>
      <c r="F6047" s="2">
        <v>0.28684209999999999</v>
      </c>
    </row>
    <row r="6048" spans="1:6" x14ac:dyDescent="0.25">
      <c r="A6048" t="s">
        <v>6</v>
      </c>
      <c r="B6048" s="5" t="str">
        <f>HYPERLINK("http://www.broadinstitute.org/gsea/msigdb/cards/GOBP_MITOCHONDRION_MORPHOGENESIS.html","GOBP_MITOCHONDRION_MORPHOGENESIS")</f>
        <v>GOBP_MITOCHONDRION_MORPHOGENESIS</v>
      </c>
      <c r="C6048" s="4">
        <v>27</v>
      </c>
      <c r="D6048" s="3">
        <v>-1.3349746</v>
      </c>
      <c r="E6048" s="1">
        <v>0.11488250999999999</v>
      </c>
      <c r="F6048" s="2">
        <v>0.28623261999999999</v>
      </c>
    </row>
    <row r="6049" spans="1:6" x14ac:dyDescent="0.25">
      <c r="A6049" t="s">
        <v>6</v>
      </c>
      <c r="B6049" s="5" t="str">
        <f>HYPERLINK("http://www.broadinstitute.org/gsea/msigdb/cards/GOBP_PONS_DEVELOPMENT.html","GOBP_PONS_DEVELOPMENT")</f>
        <v>GOBP_PONS_DEVELOPMENT</v>
      </c>
      <c r="C6049" s="4">
        <v>15</v>
      </c>
      <c r="D6049" s="3">
        <v>-1.3350040000000001</v>
      </c>
      <c r="E6049" s="1">
        <v>0.102625296</v>
      </c>
      <c r="F6049" s="2">
        <v>0.28668258000000002</v>
      </c>
    </row>
    <row r="6050" spans="1:6" x14ac:dyDescent="0.25">
      <c r="A6050" t="s">
        <v>6</v>
      </c>
      <c r="B6050" s="5" t="str">
        <f>HYPERLINK("http://www.broadinstitute.org/gsea/msigdb/cards/GOBP_PROTEIN_INSERTION_INTO_ER_MEMBRANE.html","GOBP_PROTEIN_INSERTION_INTO_ER_MEMBRANE")</f>
        <v>GOBP_PROTEIN_INSERTION_INTO_ER_MEMBRANE</v>
      </c>
      <c r="C6050" s="4">
        <v>27</v>
      </c>
      <c r="D6050" s="3">
        <v>-1.3355794000000001</v>
      </c>
      <c r="E6050" s="1">
        <v>7.5980395000000006E-2</v>
      </c>
      <c r="F6050" s="2">
        <v>0.28622076000000002</v>
      </c>
    </row>
    <row r="6051" spans="1:6" x14ac:dyDescent="0.25">
      <c r="A6051" t="s">
        <v>6</v>
      </c>
      <c r="B6051" s="5" t="str">
        <f>HYPERLINK("http://www.broadinstitute.org/gsea/msigdb/cards/GOBP_MEIOSIS_I_CELL_CYCLE_PROCESS.html","GOBP_MEIOSIS_I_CELL_CYCLE_PROCESS")</f>
        <v>GOBP_MEIOSIS_I_CELL_CYCLE_PROCESS</v>
      </c>
      <c r="C6051" s="4">
        <v>135</v>
      </c>
      <c r="D6051" s="3">
        <v>-1.3358866</v>
      </c>
      <c r="E6051" s="1">
        <v>2.1021022E-2</v>
      </c>
      <c r="F6051" s="2">
        <v>0.28621386999999998</v>
      </c>
    </row>
    <row r="6052" spans="1:6" x14ac:dyDescent="0.25">
      <c r="A6052" t="s">
        <v>6</v>
      </c>
      <c r="B6052" s="5" t="str">
        <f>HYPERLINK("http://www.broadinstitute.org/gsea/msigdb/cards/GOBP_PROTEIN_TRANSMEMBRANE_IMPORT_INTO_INTRACELLULAR_ORGANELLE.html","GOBP_PROTEIN_TRANSMEMBRANE_IMPORT_INTO_INTRACELLULAR_ORGANELLE")</f>
        <v>GOBP_PROTEIN_TRANSMEMBRANE_IMPORT_INTO_INTRACELLULAR_ORGANELLE</v>
      </c>
      <c r="C6052" s="4">
        <v>35</v>
      </c>
      <c r="D6052" s="3">
        <v>-1.3362019999999999</v>
      </c>
      <c r="E6052" s="1">
        <v>8.9552240000000005E-2</v>
      </c>
      <c r="F6052" s="2">
        <v>0.28620224999999999</v>
      </c>
    </row>
    <row r="6053" spans="1:6" x14ac:dyDescent="0.25">
      <c r="A6053" t="s">
        <v>10</v>
      </c>
      <c r="B6053" s="5" t="str">
        <f>HYPERLINK("http://www.broadinstitute.org/gsea/msigdb/cards/REACTOME_CHOLESTEROL_BIOSYNTHESIS.html","REACTOME_CHOLESTEROL_BIOSYNTHESIS")</f>
        <v>REACTOME_CHOLESTEROL_BIOSYNTHESIS</v>
      </c>
      <c r="C6053" s="4">
        <v>27</v>
      </c>
      <c r="D6053" s="3">
        <v>-1.3369815</v>
      </c>
      <c r="E6053" s="1">
        <v>9.3975900000000001E-2</v>
      </c>
      <c r="F6053" s="2">
        <v>0.28531355000000003</v>
      </c>
    </row>
    <row r="6054" spans="1:6" x14ac:dyDescent="0.25">
      <c r="A6054" t="s">
        <v>8</v>
      </c>
      <c r="B6054" s="5" t="str">
        <f>HYPERLINK("http://www.broadinstitute.org/gsea/msigdb/cards/GOMF_OLFACTORY_RECEPTOR_ACTIVITY.html","GOMF_OLFACTORY_RECEPTOR_ACTIVITY")</f>
        <v>GOMF_OLFACTORY_RECEPTOR_ACTIVITY</v>
      </c>
      <c r="C6054" s="4">
        <v>215</v>
      </c>
      <c r="D6054" s="3">
        <v>-1.3373820000000001</v>
      </c>
      <c r="E6054" s="1">
        <v>2.1604938000000001E-2</v>
      </c>
      <c r="F6054" s="2">
        <v>0.2851532</v>
      </c>
    </row>
    <row r="6055" spans="1:6" x14ac:dyDescent="0.25">
      <c r="A6055" t="s">
        <v>8</v>
      </c>
      <c r="B6055" s="5" t="str">
        <f>HYPERLINK("http://www.broadinstitute.org/gsea/msigdb/cards/GOMF_DNA_BINDING_TRANSCRIPTION_ACTIVATOR_ACTIVITY.html","GOMF_DNA_BINDING_TRANSCRIPTION_ACTIVATOR_ACTIVITY")</f>
        <v>GOMF_DNA_BINDING_TRANSCRIPTION_ACTIVATOR_ACTIVITY</v>
      </c>
      <c r="C6055" s="4">
        <v>496</v>
      </c>
      <c r="D6055" s="3">
        <v>-1.3385955</v>
      </c>
      <c r="E6055" s="1">
        <v>0</v>
      </c>
      <c r="F6055" s="2">
        <v>0.28362485999999998</v>
      </c>
    </row>
    <row r="6056" spans="1:6" x14ac:dyDescent="0.25">
      <c r="A6056" t="s">
        <v>6</v>
      </c>
      <c r="B6056" s="5" t="str">
        <f>HYPERLINK("http://www.broadinstitute.org/gsea/msigdb/cards/GOBP_REGULATION_OF_PROTEIN_TARGETING.html","GOBP_REGULATION_OF_PROTEIN_TARGETING")</f>
        <v>GOBP_REGULATION_OF_PROTEIN_TARGETING</v>
      </c>
      <c r="C6056" s="4">
        <v>56</v>
      </c>
      <c r="D6056" s="3">
        <v>-1.3392094000000001</v>
      </c>
      <c r="E6056" s="1">
        <v>5.7377048E-2</v>
      </c>
      <c r="F6056" s="2">
        <v>0.28307217000000001</v>
      </c>
    </row>
    <row r="6057" spans="1:6" x14ac:dyDescent="0.25">
      <c r="A6057" t="s">
        <v>8</v>
      </c>
      <c r="B6057" s="5" t="str">
        <f>HYPERLINK("http://www.broadinstitute.org/gsea/msigdb/cards/GOMF_PROTEIN_FOLDING_CHAPERONE.html","GOMF_PROTEIN_FOLDING_CHAPERONE")</f>
        <v>GOMF_PROTEIN_FOLDING_CHAPERONE</v>
      </c>
      <c r="C6057" s="4">
        <v>53</v>
      </c>
      <c r="D6057" s="3">
        <v>-1.3401364</v>
      </c>
      <c r="E6057" s="1">
        <v>7.0496080000000003E-2</v>
      </c>
      <c r="F6057" s="2">
        <v>0.28193182</v>
      </c>
    </row>
    <row r="6058" spans="1:6" x14ac:dyDescent="0.25">
      <c r="A6058" t="s">
        <v>8</v>
      </c>
      <c r="B6058" s="5" t="str">
        <f>HYPERLINK("http://www.broadinstitute.org/gsea/msigdb/cards/GOMF_RIBONUCLEOPROTEIN_COMPLEX_BINDING.html","GOMF_RIBONUCLEOPROTEIN_COMPLEX_BINDING")</f>
        <v>GOMF_RIBONUCLEOPROTEIN_COMPLEX_BINDING</v>
      </c>
      <c r="C6058" s="4">
        <v>181</v>
      </c>
      <c r="D6058" s="3">
        <v>-1.3402991</v>
      </c>
      <c r="E6058" s="1">
        <v>1.3289036000000001E-2</v>
      </c>
      <c r="F6058" s="2">
        <v>0.28210843000000002</v>
      </c>
    </row>
    <row r="6059" spans="1:6" x14ac:dyDescent="0.25">
      <c r="A6059" t="s">
        <v>6</v>
      </c>
      <c r="B6059" s="5" t="str">
        <f>HYPERLINK("http://www.broadinstitute.org/gsea/msigdb/cards/GOBP_TRNA_PROCESSING.html","GOBP_TRNA_PROCESSING")</f>
        <v>GOBP_TRNA_PROCESSING</v>
      </c>
      <c r="C6059" s="4">
        <v>122</v>
      </c>
      <c r="D6059" s="3">
        <v>-1.3406289</v>
      </c>
      <c r="E6059" s="1">
        <v>2.2653721000000002E-2</v>
      </c>
      <c r="F6059" s="2">
        <v>0.28206461999999999</v>
      </c>
    </row>
    <row r="6060" spans="1:6" x14ac:dyDescent="0.25">
      <c r="A6060" t="s">
        <v>8</v>
      </c>
      <c r="B6060" s="5" t="str">
        <f>HYPERLINK("http://www.broadinstitute.org/gsea/msigdb/cards/GOMF_S_ADENOSYL_L_METHIONINE_BINDING.html","GOMF_S_ADENOSYL_L_METHIONINE_BINDING")</f>
        <v>GOMF_S_ADENOSYL_L_METHIONINE_BINDING</v>
      </c>
      <c r="C6060" s="4">
        <v>18</v>
      </c>
      <c r="D6060" s="3">
        <v>-1.3406598999999999</v>
      </c>
      <c r="E6060" s="1">
        <v>0.119700745</v>
      </c>
      <c r="F6060" s="2">
        <v>0.28250995000000001</v>
      </c>
    </row>
    <row r="6061" spans="1:6" x14ac:dyDescent="0.25">
      <c r="A6061" t="s">
        <v>10</v>
      </c>
      <c r="B6061" s="5" t="str">
        <f>HYPERLINK("http://www.broadinstitute.org/gsea/msigdb/cards/REACTOME_RNA_POLYMERASE_II_PRE_TRANSCRIPTION_EVENTS.html","REACTOME_RNA_POLYMERASE_II_PRE_TRANSCRIPTION_EVENTS")</f>
        <v>REACTOME_RNA_POLYMERASE_II_PRE_TRANSCRIPTION_EVENTS</v>
      </c>
      <c r="C6061" s="4">
        <v>76</v>
      </c>
      <c r="D6061" s="3">
        <v>-1.3407515000000001</v>
      </c>
      <c r="E6061" s="1">
        <v>4.8076924E-2</v>
      </c>
      <c r="F6061" s="2">
        <v>0.28281321999999998</v>
      </c>
    </row>
    <row r="6062" spans="1:6" x14ac:dyDescent="0.25">
      <c r="A6062" t="s">
        <v>6</v>
      </c>
      <c r="B6062" s="5" t="str">
        <f>HYPERLINK("http://www.broadinstitute.org/gsea/msigdb/cards/GOBP_GLANDULAR_EPITHELIAL_CELL_DIFFERENTIATION.html","GOBP_GLANDULAR_EPITHELIAL_CELL_DIFFERENTIATION")</f>
        <v>GOBP_GLANDULAR_EPITHELIAL_CELL_DIFFERENTIATION</v>
      </c>
      <c r="C6062" s="4">
        <v>75</v>
      </c>
      <c r="D6062" s="3">
        <v>-1.3421835</v>
      </c>
      <c r="E6062" s="1">
        <v>4.8648648000000003E-2</v>
      </c>
      <c r="F6062" s="2">
        <v>0.28089251999999998</v>
      </c>
    </row>
    <row r="6063" spans="1:6" x14ac:dyDescent="0.25">
      <c r="A6063" t="s">
        <v>6</v>
      </c>
      <c r="B6063" s="5" t="str">
        <f>HYPERLINK("http://www.broadinstitute.org/gsea/msigdb/cards/GOBP_CELLULAR_RESPONSE_TO_ESTRADIOL_STIMULUS.html","GOBP_CELLULAR_RESPONSE_TO_ESTRADIOL_STIMULUS")</f>
        <v>GOBP_CELLULAR_RESPONSE_TO_ESTRADIOL_STIMULUS</v>
      </c>
      <c r="C6063" s="4">
        <v>24</v>
      </c>
      <c r="D6063" s="3">
        <v>-1.3438140999999999</v>
      </c>
      <c r="E6063" s="1">
        <v>8.3532220000000004E-2</v>
      </c>
      <c r="F6063" s="2">
        <v>0.27858755000000002</v>
      </c>
    </row>
    <row r="6064" spans="1:6" x14ac:dyDescent="0.25">
      <c r="A6064" t="s">
        <v>6</v>
      </c>
      <c r="B6064" s="5" t="str">
        <f>HYPERLINK("http://www.broadinstitute.org/gsea/msigdb/cards/GOBP_KIDNEY_MORPHOGENESIS.html","GOBP_KIDNEY_MORPHOGENESIS")</f>
        <v>GOBP_KIDNEY_MORPHOGENESIS</v>
      </c>
      <c r="C6064" s="4">
        <v>104</v>
      </c>
      <c r="D6064" s="3">
        <v>-1.3440981000000001</v>
      </c>
      <c r="E6064" s="1">
        <v>3.7572253E-2</v>
      </c>
      <c r="F6064" s="2">
        <v>0.27861404000000001</v>
      </c>
    </row>
    <row r="6065" spans="1:6" x14ac:dyDescent="0.25">
      <c r="A6065" t="s">
        <v>6</v>
      </c>
      <c r="B6065" s="5" t="str">
        <f>HYPERLINK("http://www.broadinstitute.org/gsea/msigdb/cards/GOBP_NEGATIVE_REGULATION_OF_ANDROGEN_RECEPTOR_SIGNALING_PATHWAY.html","GOBP_NEGATIVE_REGULATION_OF_ANDROGEN_RECEPTOR_SIGNALING_PATHWAY")</f>
        <v>GOBP_NEGATIVE_REGULATION_OF_ANDROGEN_RECEPTOR_SIGNALING_PATHWAY</v>
      </c>
      <c r="C6065" s="4">
        <v>17</v>
      </c>
      <c r="D6065" s="3">
        <v>-1.3444891000000001</v>
      </c>
      <c r="E6065" s="1">
        <v>0.115555555</v>
      </c>
      <c r="F6065" s="2">
        <v>0.27845474999999997</v>
      </c>
    </row>
    <row r="6066" spans="1:6" x14ac:dyDescent="0.25">
      <c r="A6066" t="s">
        <v>6</v>
      </c>
      <c r="B6066" s="5" t="str">
        <f>HYPERLINK("http://www.broadinstitute.org/gsea/msigdb/cards/GOBP_MAINTENANCE_OF_PROTEIN_LOCATION_IN_NUCLEUS.html","GOBP_MAINTENANCE_OF_PROTEIN_LOCATION_IN_NUCLEUS")</f>
        <v>GOBP_MAINTENANCE_OF_PROTEIN_LOCATION_IN_NUCLEUS</v>
      </c>
      <c r="C6066" s="4">
        <v>25</v>
      </c>
      <c r="D6066" s="3">
        <v>-1.3459135</v>
      </c>
      <c r="E6066" s="1">
        <v>9.7323603999999994E-2</v>
      </c>
      <c r="F6066" s="2">
        <v>0.27648600000000001</v>
      </c>
    </row>
    <row r="6067" spans="1:6" x14ac:dyDescent="0.25">
      <c r="A6067" t="s">
        <v>8</v>
      </c>
      <c r="B6067" s="5" t="str">
        <f>HYPERLINK("http://www.broadinstitute.org/gsea/msigdb/cards/GOMF_RNA_POLYMERASE_II_GENERAL_TRANSCRIPTION_INITIATION_FACTOR_BINDING.html","GOMF_RNA_POLYMERASE_II_GENERAL_TRANSCRIPTION_INITIATION_FACTOR_BINDING")</f>
        <v>GOMF_RNA_POLYMERASE_II_GENERAL_TRANSCRIPTION_INITIATION_FACTOR_BINDING</v>
      </c>
      <c r="C6067" s="4">
        <v>26</v>
      </c>
      <c r="D6067" s="3">
        <v>-1.3461145000000001</v>
      </c>
      <c r="E6067" s="1">
        <v>9.002433E-2</v>
      </c>
      <c r="F6067" s="2">
        <v>0.27664362999999997</v>
      </c>
    </row>
    <row r="6068" spans="1:6" x14ac:dyDescent="0.25">
      <c r="A6068" t="s">
        <v>6</v>
      </c>
      <c r="B6068" s="5" t="str">
        <f>HYPERLINK("http://www.broadinstitute.org/gsea/msigdb/cards/GOBP_POSITIVE_REGULATION_OF_EPIDERMIS_DEVELOPMENT.html","GOBP_POSITIVE_REGULATION_OF_EPIDERMIS_DEVELOPMENT")</f>
        <v>GOBP_POSITIVE_REGULATION_OF_EPIDERMIS_DEVELOPMENT</v>
      </c>
      <c r="C6068" s="4">
        <v>26</v>
      </c>
      <c r="D6068" s="3">
        <v>-1.3468078000000001</v>
      </c>
      <c r="E6068" s="1">
        <v>9.2269324E-2</v>
      </c>
      <c r="F6068" s="2">
        <v>0.27599820000000003</v>
      </c>
    </row>
    <row r="6069" spans="1:6" x14ac:dyDescent="0.25">
      <c r="A6069" t="s">
        <v>6</v>
      </c>
      <c r="B6069" s="5" t="str">
        <f>HYPERLINK("http://www.broadinstitute.org/gsea/msigdb/cards/GOBP_RRNA_CATABOLIC_PROCESS.html","GOBP_RRNA_CATABOLIC_PROCESS")</f>
        <v>GOBP_RRNA_CATABOLIC_PROCESS</v>
      </c>
      <c r="C6069" s="4">
        <v>18</v>
      </c>
      <c r="D6069" s="3">
        <v>-1.3469218000000001</v>
      </c>
      <c r="E6069" s="1">
        <v>0.110275686</v>
      </c>
      <c r="F6069" s="2">
        <v>0.27625817000000003</v>
      </c>
    </row>
    <row r="6070" spans="1:6" x14ac:dyDescent="0.25">
      <c r="A6070" t="s">
        <v>7</v>
      </c>
      <c r="B6070" s="5" t="str">
        <f>HYPERLINK("http://www.broadinstitute.org/gsea/msigdb/cards/GOCC_KERATIN_FILAMENT.html","GOCC_KERATIN_FILAMENT")</f>
        <v>GOCC_KERATIN_FILAMENT</v>
      </c>
      <c r="C6070" s="4">
        <v>51</v>
      </c>
      <c r="D6070" s="3">
        <v>-1.3475596000000001</v>
      </c>
      <c r="E6070" s="1">
        <v>5.6497174999999997E-2</v>
      </c>
      <c r="F6070" s="2">
        <v>0.27569985000000002</v>
      </c>
    </row>
    <row r="6071" spans="1:6" x14ac:dyDescent="0.25">
      <c r="A6071" t="s">
        <v>8</v>
      </c>
      <c r="B6071" s="5" t="str">
        <f>HYPERLINK("http://www.broadinstitute.org/gsea/msigdb/cards/GOMF_MONOATOMIC_CATION_CHANNEL_ACTIVITY.html","GOMF_MONOATOMIC_CATION_CHANNEL_ACTIVITY")</f>
        <v>GOMF_MONOATOMIC_CATION_CHANNEL_ACTIVITY</v>
      </c>
      <c r="C6071" s="4">
        <v>306</v>
      </c>
      <c r="D6071" s="3">
        <v>-1.3479901999999999</v>
      </c>
      <c r="E6071" s="1">
        <v>4.1152259999999996E-3</v>
      </c>
      <c r="F6071" s="2">
        <v>0.27545649999999999</v>
      </c>
    </row>
    <row r="6072" spans="1:6" x14ac:dyDescent="0.25">
      <c r="A6072" t="s">
        <v>7</v>
      </c>
      <c r="B6072" s="5" t="str">
        <f>HYPERLINK("http://www.broadinstitute.org/gsea/msigdb/cards/GOCC_SAGA_COMPLEX.html","GOCC_SAGA_COMPLEX")</f>
        <v>GOCC_SAGA_COMPLEX</v>
      </c>
      <c r="C6072" s="4">
        <v>23</v>
      </c>
      <c r="D6072" s="3">
        <v>-1.3489089999999999</v>
      </c>
      <c r="E6072" s="1">
        <v>0.106796116</v>
      </c>
      <c r="F6072" s="2">
        <v>0.27438203</v>
      </c>
    </row>
    <row r="6073" spans="1:6" x14ac:dyDescent="0.25">
      <c r="A6073" t="s">
        <v>6</v>
      </c>
      <c r="B6073" s="5" t="str">
        <f>HYPERLINK("http://www.broadinstitute.org/gsea/msigdb/cards/GOBP_CHROMOSOME_ORGANIZATION_INVOLVED_IN_MEIOTIC_CELL_CYCLE.html","GOBP_CHROMOSOME_ORGANIZATION_INVOLVED_IN_MEIOTIC_CELL_CYCLE")</f>
        <v>GOBP_CHROMOSOME_ORGANIZATION_INVOLVED_IN_MEIOTIC_CELL_CYCLE</v>
      </c>
      <c r="C6073" s="4">
        <v>70</v>
      </c>
      <c r="D6073" s="3">
        <v>-1.3495111</v>
      </c>
      <c r="E6073" s="1">
        <v>4.9562679999999998E-2</v>
      </c>
      <c r="F6073" s="2">
        <v>0.27387866</v>
      </c>
    </row>
    <row r="6074" spans="1:6" x14ac:dyDescent="0.25">
      <c r="A6074" t="s">
        <v>10</v>
      </c>
      <c r="B6074" s="5" t="str">
        <f>HYPERLINK("http://www.broadinstitute.org/gsea/msigdb/cards/REACTOME_PCP_CE_PATHWAY.html","REACTOME_PCP_CE_PATHWAY")</f>
        <v>REACTOME_PCP_CE_PATHWAY</v>
      </c>
      <c r="C6074" s="4">
        <v>86</v>
      </c>
      <c r="D6074" s="3">
        <v>-1.3495713</v>
      </c>
      <c r="E6074" s="1">
        <v>3.0640669999999998E-2</v>
      </c>
      <c r="F6074" s="2">
        <v>0.27427799000000003</v>
      </c>
    </row>
    <row r="6075" spans="1:6" x14ac:dyDescent="0.25">
      <c r="A6075" t="s">
        <v>6</v>
      </c>
      <c r="B6075" s="5" t="str">
        <f>HYPERLINK("http://www.broadinstitute.org/gsea/msigdb/cards/GOBP_EMBRYONIC_ORGAN_MORPHOGENESIS.html","GOBP_EMBRYONIC_ORGAN_MORPHOGENESIS")</f>
        <v>GOBP_EMBRYONIC_ORGAN_MORPHOGENESIS</v>
      </c>
      <c r="C6075" s="4">
        <v>329</v>
      </c>
      <c r="D6075" s="3">
        <v>-1.3496143</v>
      </c>
      <c r="E6075" s="1">
        <v>0</v>
      </c>
      <c r="F6075" s="2">
        <v>0.27471000000000001</v>
      </c>
    </row>
    <row r="6076" spans="1:6" x14ac:dyDescent="0.25">
      <c r="A6076" t="s">
        <v>6</v>
      </c>
      <c r="B6076" s="5" t="str">
        <f>HYPERLINK("http://www.broadinstitute.org/gsea/msigdb/cards/GOBP_ORGAN_INDUCTION.html","GOBP_ORGAN_INDUCTION")</f>
        <v>GOBP_ORGAN_INDUCTION</v>
      </c>
      <c r="C6076" s="4">
        <v>28</v>
      </c>
      <c r="D6076" s="3">
        <v>-1.3500106000000001</v>
      </c>
      <c r="E6076" s="1">
        <v>9.5854919999999996E-2</v>
      </c>
      <c r="F6076" s="2">
        <v>0.27456950000000002</v>
      </c>
    </row>
    <row r="6077" spans="1:6" x14ac:dyDescent="0.25">
      <c r="A6077" t="s">
        <v>6</v>
      </c>
      <c r="B6077" s="5" t="str">
        <f>HYPERLINK("http://www.broadinstitute.org/gsea/msigdb/cards/GOBP_MRNA_CATABOLIC_PROCESS.html","GOBP_MRNA_CATABOLIC_PROCESS")</f>
        <v>GOBP_MRNA_CATABOLIC_PROCESS</v>
      </c>
      <c r="C6077" s="4">
        <v>232</v>
      </c>
      <c r="D6077" s="3">
        <v>-1.3506948999999999</v>
      </c>
      <c r="E6077" s="1">
        <v>1.8115941E-2</v>
      </c>
      <c r="F6077" s="2">
        <v>0.27388590000000002</v>
      </c>
    </row>
    <row r="6078" spans="1:6" x14ac:dyDescent="0.25">
      <c r="A6078" t="s">
        <v>10</v>
      </c>
      <c r="B6078" s="5" t="str">
        <f>HYPERLINK("http://www.broadinstitute.org/gsea/msigdb/cards/REACTOME_HATS_ACETYLATE_HISTONES.html","REACTOME_HATS_ACETYLATE_HISTONES")</f>
        <v>REACTOME_HATS_ACETYLATE_HISTONES</v>
      </c>
      <c r="C6078" s="4">
        <v>69</v>
      </c>
      <c r="D6078" s="3">
        <v>-1.3509446000000001</v>
      </c>
      <c r="E6078" s="1">
        <v>4.3147206E-2</v>
      </c>
      <c r="F6078" s="2">
        <v>0.27395374</v>
      </c>
    </row>
    <row r="6079" spans="1:6" x14ac:dyDescent="0.25">
      <c r="A6079" t="s">
        <v>6</v>
      </c>
      <c r="B6079" s="5" t="str">
        <f>HYPERLINK("http://www.broadinstitute.org/gsea/msigdb/cards/GOBP_QUINONE_BIOSYNTHETIC_PROCESS.html","GOBP_QUINONE_BIOSYNTHETIC_PROCESS")</f>
        <v>GOBP_QUINONE_BIOSYNTHETIC_PROCESS</v>
      </c>
      <c r="C6079" s="4">
        <v>17</v>
      </c>
      <c r="D6079" s="3">
        <v>-1.3516665999999999</v>
      </c>
      <c r="E6079" s="1">
        <v>0.11219512</v>
      </c>
      <c r="F6079" s="2">
        <v>0.27327377000000003</v>
      </c>
    </row>
    <row r="6080" spans="1:6" x14ac:dyDescent="0.25">
      <c r="A6080" t="s">
        <v>10</v>
      </c>
      <c r="B6080" s="5" t="str">
        <f>HYPERLINK("http://www.broadinstitute.org/gsea/msigdb/cards/REACTOME_POSITIVE_EPIGENETIC_REGULATION_OF_RRNA_EXPRESSION.html","REACTOME_POSITIVE_EPIGENETIC_REGULATION_OF_RRNA_EXPRESSION")</f>
        <v>REACTOME_POSITIVE_EPIGENETIC_REGULATION_OF_RRNA_EXPRESSION</v>
      </c>
      <c r="C6080" s="4">
        <v>30</v>
      </c>
      <c r="D6080" s="3">
        <v>-1.3519308999999999</v>
      </c>
      <c r="E6080" s="1">
        <v>8.8942304E-2</v>
      </c>
      <c r="F6080" s="2">
        <v>0.2733102</v>
      </c>
    </row>
    <row r="6081" spans="1:6" x14ac:dyDescent="0.25">
      <c r="A6081" t="s">
        <v>6</v>
      </c>
      <c r="B6081" s="5" t="str">
        <f>HYPERLINK("http://www.broadinstitute.org/gsea/msigdb/cards/GOBP_MUSCLE_HYPERTROPHY.html","GOBP_MUSCLE_HYPERTROPHY")</f>
        <v>GOBP_MUSCLE_HYPERTROPHY</v>
      </c>
      <c r="C6081" s="4">
        <v>119</v>
      </c>
      <c r="D6081" s="3">
        <v>-1.3528742</v>
      </c>
      <c r="E6081" s="1">
        <v>1.8072287999999999E-2</v>
      </c>
      <c r="F6081" s="2">
        <v>0.27222255000000001</v>
      </c>
    </row>
    <row r="6082" spans="1:6" x14ac:dyDescent="0.25">
      <c r="A6082" t="s">
        <v>7</v>
      </c>
      <c r="B6082" s="5" t="str">
        <f>HYPERLINK("http://www.broadinstitute.org/gsea/msigdb/cards/GOCC_NUCLEOSOME.html","GOCC_NUCLEOSOME")</f>
        <v>GOCC_NUCLEOSOME</v>
      </c>
      <c r="C6082" s="4">
        <v>101</v>
      </c>
      <c r="D6082" s="3">
        <v>-1.3530419</v>
      </c>
      <c r="E6082" s="1">
        <v>1.1235955000000001E-2</v>
      </c>
      <c r="F6082" s="2">
        <v>0.27244863000000002</v>
      </c>
    </row>
    <row r="6083" spans="1:6" x14ac:dyDescent="0.25">
      <c r="A6083" t="s">
        <v>6</v>
      </c>
      <c r="B6083" s="5" t="str">
        <f>HYPERLINK("http://www.broadinstitute.org/gsea/msigdb/cards/GOBP_PEPTIDYL_LYSINE_ACETYLATION.html","GOBP_PEPTIDYL_LYSINE_ACETYLATION")</f>
        <v>GOBP_PEPTIDYL_LYSINE_ACETYLATION</v>
      </c>
      <c r="C6083" s="4">
        <v>82</v>
      </c>
      <c r="D6083" s="3">
        <v>-1.3538262000000001</v>
      </c>
      <c r="E6083" s="1">
        <v>3.3333334999999999E-2</v>
      </c>
      <c r="F6083" s="2">
        <v>0.27155881999999998</v>
      </c>
    </row>
    <row r="6084" spans="1:6" x14ac:dyDescent="0.25">
      <c r="A6084" t="s">
        <v>7</v>
      </c>
      <c r="B6084" s="5" t="str">
        <f>HYPERLINK("http://www.broadinstitute.org/gsea/msigdb/cards/GOCC_MAIN_AXON.html","GOCC_MAIN_AXON")</f>
        <v>GOCC_MAIN_AXON</v>
      </c>
      <c r="C6084" s="4">
        <v>85</v>
      </c>
      <c r="D6084" s="3">
        <v>-1.3542159</v>
      </c>
      <c r="E6084" s="1">
        <v>3.6649215999999998E-2</v>
      </c>
      <c r="F6084" s="2">
        <v>0.27145239999999998</v>
      </c>
    </row>
    <row r="6085" spans="1:6" x14ac:dyDescent="0.25">
      <c r="A6085" t="s">
        <v>8</v>
      </c>
      <c r="B6085" s="5" t="str">
        <f>HYPERLINK("http://www.broadinstitute.org/gsea/msigdb/cards/GOMF_PRENYLTRANSFERASE_ACTIVITY.html","GOMF_PRENYLTRANSFERASE_ACTIVITY")</f>
        <v>GOMF_PRENYLTRANSFERASE_ACTIVITY</v>
      </c>
      <c r="C6085" s="4">
        <v>15</v>
      </c>
      <c r="D6085" s="3">
        <v>-1.354544</v>
      </c>
      <c r="E6085" s="1">
        <v>9.9273609999999998E-2</v>
      </c>
      <c r="F6085" s="2">
        <v>0.27140555</v>
      </c>
    </row>
    <row r="6086" spans="1:6" x14ac:dyDescent="0.25">
      <c r="A6086" t="s">
        <v>10</v>
      </c>
      <c r="B6086" s="5" t="str">
        <f>HYPERLINK("http://www.broadinstitute.org/gsea/msigdb/cards/REACTOME_CELLULAR_RESPONSE_TO_CHEMICAL_STRESS.html","REACTOME_CELLULAR_RESPONSE_TO_CHEMICAL_STRESS")</f>
        <v>REACTOME_CELLULAR_RESPONSE_TO_CHEMICAL_STRESS</v>
      </c>
      <c r="C6086" s="4">
        <v>155</v>
      </c>
      <c r="D6086" s="3">
        <v>-1.3568705000000001</v>
      </c>
      <c r="E6086" s="1">
        <v>1.3289036000000001E-2</v>
      </c>
      <c r="F6086" s="2">
        <v>0.26816701999999998</v>
      </c>
    </row>
    <row r="6087" spans="1:6" x14ac:dyDescent="0.25">
      <c r="A6087" t="s">
        <v>6</v>
      </c>
      <c r="B6087" s="5" t="str">
        <f>HYPERLINK("http://www.broadinstitute.org/gsea/msigdb/cards/GOBP_MOLTING_CYCLE.html","GOBP_MOLTING_CYCLE")</f>
        <v>GOBP_MOLTING_CYCLE</v>
      </c>
      <c r="C6087" s="4">
        <v>141</v>
      </c>
      <c r="D6087" s="3">
        <v>-1.3575484</v>
      </c>
      <c r="E6087" s="1">
        <v>2.1341464000000001E-2</v>
      </c>
      <c r="F6087" s="2">
        <v>0.26753715</v>
      </c>
    </row>
    <row r="6088" spans="1:6" x14ac:dyDescent="0.25">
      <c r="A6088" t="s">
        <v>6</v>
      </c>
      <c r="B6088" s="5" t="str">
        <f>HYPERLINK("http://www.broadinstitute.org/gsea/msigdb/cards/GOBP_IRON_SULFUR_CLUSTER_ASSEMBLY.html","GOBP_IRON_SULFUR_CLUSTER_ASSEMBLY")</f>
        <v>GOBP_IRON_SULFUR_CLUSTER_ASSEMBLY</v>
      </c>
      <c r="C6088" s="4">
        <v>25</v>
      </c>
      <c r="D6088" s="3">
        <v>-1.3579977999999999</v>
      </c>
      <c r="E6088" s="1">
        <v>9.3908630000000007E-2</v>
      </c>
      <c r="F6088" s="2">
        <v>0.26729651999999998</v>
      </c>
    </row>
    <row r="6089" spans="1:6" x14ac:dyDescent="0.25">
      <c r="A6089" t="s">
        <v>8</v>
      </c>
      <c r="B6089" s="5" t="str">
        <f>HYPERLINK("http://www.broadinstitute.org/gsea/msigdb/cards/GOMF_RRNA_BINDING.html","GOMF_RRNA_BINDING")</f>
        <v>GOMF_RRNA_BINDING</v>
      </c>
      <c r="C6089" s="4">
        <v>72</v>
      </c>
      <c r="D6089" s="3">
        <v>-1.3588525</v>
      </c>
      <c r="E6089" s="1">
        <v>2.5352112999999999E-2</v>
      </c>
      <c r="F6089" s="2">
        <v>0.26645657</v>
      </c>
    </row>
    <row r="6090" spans="1:6" x14ac:dyDescent="0.25">
      <c r="A6090" t="s">
        <v>6</v>
      </c>
      <c r="B6090" s="5" t="str">
        <f>HYPERLINK("http://www.broadinstitute.org/gsea/msigdb/cards/GOBP_FORELIMB_MORPHOGENESIS.html","GOBP_FORELIMB_MORPHOGENESIS")</f>
        <v>GOBP_FORELIMB_MORPHOGENESIS</v>
      </c>
      <c r="C6090" s="4">
        <v>47</v>
      </c>
      <c r="D6090" s="3">
        <v>-1.3601235</v>
      </c>
      <c r="E6090" s="1">
        <v>5.6149732000000001E-2</v>
      </c>
      <c r="F6090" s="2">
        <v>0.26481297999999998</v>
      </c>
    </row>
    <row r="6091" spans="1:6" x14ac:dyDescent="0.25">
      <c r="A6091" t="s">
        <v>6</v>
      </c>
      <c r="B6091" s="5" t="str">
        <f>HYPERLINK("http://www.broadinstitute.org/gsea/msigdb/cards/GOBP_STRIATED_MUSCLE_CELL_DEVELOPMENT.html","GOBP_STRIATED_MUSCLE_CELL_DEVELOPMENT")</f>
        <v>GOBP_STRIATED_MUSCLE_CELL_DEVELOPMENT</v>
      </c>
      <c r="C6091" s="4">
        <v>73</v>
      </c>
      <c r="D6091" s="3">
        <v>-1.3619144000000001</v>
      </c>
      <c r="E6091" s="1">
        <v>2.8735632000000001E-2</v>
      </c>
      <c r="F6091" s="2">
        <v>0.26251855000000002</v>
      </c>
    </row>
    <row r="6092" spans="1:6" x14ac:dyDescent="0.25">
      <c r="A6092" t="s">
        <v>7</v>
      </c>
      <c r="B6092" s="5" t="str">
        <f>HYPERLINK("http://www.broadinstitute.org/gsea/msigdb/cards/GOCC_PRESYNAPTIC_CYTOSOL.html","GOCC_PRESYNAPTIC_CYTOSOL")</f>
        <v>GOCC_PRESYNAPTIC_CYTOSOL</v>
      </c>
      <c r="C6092" s="4">
        <v>32</v>
      </c>
      <c r="D6092" s="3">
        <v>-1.3622801</v>
      </c>
      <c r="E6092" s="1">
        <v>7.0886075000000007E-2</v>
      </c>
      <c r="F6092" s="2">
        <v>0.26243517</v>
      </c>
    </row>
    <row r="6093" spans="1:6" x14ac:dyDescent="0.25">
      <c r="A6093" t="s">
        <v>6</v>
      </c>
      <c r="B6093" s="5" t="str">
        <f>HYPERLINK("http://www.broadinstitute.org/gsea/msigdb/cards/GOBP_CELL_CYCLE_PHASE.html","GOBP_CELL_CYCLE_PHASE")</f>
        <v>GOBP_CELL_CYCLE_PHASE</v>
      </c>
      <c r="C6093" s="4">
        <v>23</v>
      </c>
      <c r="D6093" s="3">
        <v>-1.3624067</v>
      </c>
      <c r="E6093" s="1">
        <v>0.11111111</v>
      </c>
      <c r="F6093" s="2">
        <v>0.26274288000000001</v>
      </c>
    </row>
    <row r="6094" spans="1:6" x14ac:dyDescent="0.25">
      <c r="A6094" t="s">
        <v>6</v>
      </c>
      <c r="B6094" s="5" t="str">
        <f>HYPERLINK("http://www.broadinstitute.org/gsea/msigdb/cards/GOBP_PEPTIDYL_LYSINE_METHYLATION.html","GOBP_PEPTIDYL_LYSINE_METHYLATION")</f>
        <v>GOBP_PEPTIDYL_LYSINE_METHYLATION</v>
      </c>
      <c r="C6094" s="4">
        <v>61</v>
      </c>
      <c r="D6094" s="3">
        <v>-1.3632019</v>
      </c>
      <c r="E6094" s="1">
        <v>3.305785E-2</v>
      </c>
      <c r="F6094" s="2">
        <v>0.26195294000000002</v>
      </c>
    </row>
    <row r="6095" spans="1:6" x14ac:dyDescent="0.25">
      <c r="A6095" t="s">
        <v>6</v>
      </c>
      <c r="B6095" s="5" t="str">
        <f>HYPERLINK("http://www.broadinstitute.org/gsea/msigdb/cards/GOBP_RESPONSE_TO_ZINC_ION.html","GOBP_RESPONSE_TO_ZINC_ION")</f>
        <v>GOBP_RESPONSE_TO_ZINC_ION</v>
      </c>
      <c r="C6095" s="4">
        <v>35</v>
      </c>
      <c r="D6095" s="3">
        <v>-1.3645803999999999</v>
      </c>
      <c r="E6095" s="1">
        <v>8.1885860000000005E-2</v>
      </c>
      <c r="F6095" s="2">
        <v>0.26024923</v>
      </c>
    </row>
    <row r="6096" spans="1:6" x14ac:dyDescent="0.25">
      <c r="A6096" t="s">
        <v>6</v>
      </c>
      <c r="B6096" s="5" t="str">
        <f>HYPERLINK("http://www.broadinstitute.org/gsea/msigdb/cards/GOBP_MULTICELLULAR_ORGANISM_GROWTH.html","GOBP_MULTICELLULAR_ORGANISM_GROWTH")</f>
        <v>GOBP_MULTICELLULAR_ORGANISM_GROWTH</v>
      </c>
      <c r="C6096" s="4">
        <v>212</v>
      </c>
      <c r="D6096" s="3">
        <v>-1.3658465</v>
      </c>
      <c r="E6096" s="1">
        <v>0</v>
      </c>
      <c r="F6096" s="2">
        <v>0.25873014</v>
      </c>
    </row>
    <row r="6097" spans="1:6" x14ac:dyDescent="0.25">
      <c r="A6097" t="s">
        <v>11</v>
      </c>
      <c r="B6097" s="5" t="str">
        <f>HYPERLINK("http://www.broadinstitute.org/gsea/msigdb/cards/WP_NEURAL_CREST_DIFFERENTIATION.html","WP_NEURAL_CREST_DIFFERENTIATION")</f>
        <v>WP_NEURAL_CREST_DIFFERENTIATION</v>
      </c>
      <c r="C6097" s="4">
        <v>99</v>
      </c>
      <c r="D6097" s="3">
        <v>-1.3665657</v>
      </c>
      <c r="E6097" s="1">
        <v>3.3742330000000001E-2</v>
      </c>
      <c r="F6097" s="2">
        <v>0.25807669999999999</v>
      </c>
    </row>
    <row r="6098" spans="1:6" x14ac:dyDescent="0.25">
      <c r="A6098" t="s">
        <v>6</v>
      </c>
      <c r="B6098" s="5" t="str">
        <f>HYPERLINK("http://www.broadinstitute.org/gsea/msigdb/cards/GOBP_MUSCLE_ORGAN_DEVELOPMENT.html","GOBP_MUSCLE_ORGAN_DEVELOPMENT")</f>
        <v>GOBP_MUSCLE_ORGAN_DEVELOPMENT</v>
      </c>
      <c r="C6098" s="4">
        <v>353</v>
      </c>
      <c r="D6098" s="3">
        <v>-1.3671468</v>
      </c>
      <c r="E6098" s="1">
        <v>0</v>
      </c>
      <c r="F6098" s="2">
        <v>0.25762449999999998</v>
      </c>
    </row>
    <row r="6099" spans="1:6" x14ac:dyDescent="0.25">
      <c r="A6099" t="s">
        <v>10</v>
      </c>
      <c r="B6099" s="5" t="str">
        <f>HYPERLINK("http://www.broadinstitute.org/gsea/msigdb/cards/REACTOME_DEPOSITION_OF_NEW_CENPA_CONTAINING_NUCLEOSOMES_AT_THE_CENTROMERE.html","REACTOME_DEPOSITION_OF_NEW_CENPA_CONTAINING_NUCLEOSOMES_AT_THE_CENTROMERE")</f>
        <v>REACTOME_DEPOSITION_OF_NEW_CENPA_CONTAINING_NUCLEOSOMES_AT_THE_CENTROMERE</v>
      </c>
      <c r="C6099" s="4">
        <v>70</v>
      </c>
      <c r="D6099" s="3">
        <v>-1.367553</v>
      </c>
      <c r="E6099" s="1">
        <v>6.5274150000000003E-2</v>
      </c>
      <c r="F6099" s="2">
        <v>0.25751384999999999</v>
      </c>
    </row>
    <row r="6100" spans="1:6" x14ac:dyDescent="0.25">
      <c r="A6100" t="s">
        <v>7</v>
      </c>
      <c r="B6100" s="5" t="str">
        <f>HYPERLINK("http://www.broadinstitute.org/gsea/msigdb/cards/GOCC_NUCLEAR_CHROMOSOME.html","GOCC_NUCLEAR_CHROMOSOME")</f>
        <v>GOCC_NUCLEAR_CHROMOSOME</v>
      </c>
      <c r="C6100" s="4">
        <v>238</v>
      </c>
      <c r="D6100" s="3">
        <v>-1.3682843</v>
      </c>
      <c r="E6100" s="1">
        <v>1.1406844500000001E-2</v>
      </c>
      <c r="F6100" s="2">
        <v>0.25687304</v>
      </c>
    </row>
    <row r="6101" spans="1:6" x14ac:dyDescent="0.25">
      <c r="A6101" t="s">
        <v>6</v>
      </c>
      <c r="B6101" s="5" t="str">
        <f>HYPERLINK("http://www.broadinstitute.org/gsea/msigdb/cards/GOBP_METHYLATION.html","GOBP_METHYLATION")</f>
        <v>GOBP_METHYLATION</v>
      </c>
      <c r="C6101" s="4">
        <v>265</v>
      </c>
      <c r="D6101" s="3">
        <v>-1.3685278999999999</v>
      </c>
      <c r="E6101" s="1">
        <v>0</v>
      </c>
      <c r="F6101" s="2">
        <v>0.25698113</v>
      </c>
    </row>
    <row r="6102" spans="1:6" x14ac:dyDescent="0.25">
      <c r="A6102" t="s">
        <v>10</v>
      </c>
      <c r="B6102" s="5" t="str">
        <f>HYPERLINK("http://www.broadinstitute.org/gsea/msigdb/cards/REACTOME_PINK1_PRKN_MEDIATED_MITOPHAGY.html","REACTOME_PINK1_PRKN_MEDIATED_MITOPHAGY")</f>
        <v>REACTOME_PINK1_PRKN_MEDIATED_MITOPHAGY</v>
      </c>
      <c r="C6102" s="4">
        <v>22</v>
      </c>
      <c r="D6102" s="3">
        <v>-1.3688979999999999</v>
      </c>
      <c r="E6102" s="1">
        <v>9.9767980000000006E-2</v>
      </c>
      <c r="F6102" s="2">
        <v>0.25688484</v>
      </c>
    </row>
    <row r="6103" spans="1:6" x14ac:dyDescent="0.25">
      <c r="A6103" t="s">
        <v>6</v>
      </c>
      <c r="B6103" s="5" t="str">
        <f>HYPERLINK("http://www.broadinstitute.org/gsea/msigdb/cards/GOBP_PROTEIN_ACYLATION.html","GOBP_PROTEIN_ACYLATION")</f>
        <v>GOBP_PROTEIN_ACYLATION</v>
      </c>
      <c r="C6103" s="4">
        <v>153</v>
      </c>
      <c r="D6103" s="3">
        <v>-1.3699999</v>
      </c>
      <c r="E6103" s="1">
        <v>1.8050541999999999E-2</v>
      </c>
      <c r="F6103" s="2">
        <v>0.25564605000000001</v>
      </c>
    </row>
    <row r="6104" spans="1:6" x14ac:dyDescent="0.25">
      <c r="A6104" t="s">
        <v>6</v>
      </c>
      <c r="B6104" s="5" t="str">
        <f>HYPERLINK("http://www.broadinstitute.org/gsea/msigdb/cards/GOBP_REGULATION_OF_MULTICELLULAR_ORGANISM_GROWTH.html","GOBP_REGULATION_OF_MULTICELLULAR_ORGANISM_GROWTH")</f>
        <v>GOBP_REGULATION_OF_MULTICELLULAR_ORGANISM_GROWTH</v>
      </c>
      <c r="C6104" s="4">
        <v>86</v>
      </c>
      <c r="D6104" s="3">
        <v>-1.3708191000000001</v>
      </c>
      <c r="E6104" s="1">
        <v>2.5787965999999999E-2</v>
      </c>
      <c r="F6104" s="2">
        <v>0.25477722000000003</v>
      </c>
    </row>
    <row r="6105" spans="1:6" x14ac:dyDescent="0.25">
      <c r="A6105" t="s">
        <v>6</v>
      </c>
      <c r="B6105" s="5" t="str">
        <f>HYPERLINK("http://www.broadinstitute.org/gsea/msigdb/cards/GOBP_NEUROTRANSMITTER_RECEPTOR_LOCALIZATION_TO_POSTSYNAPTIC_SPECIALIZATION_MEMBRANE.html","GOBP_NEUROTRANSMITTER_RECEPTOR_LOCALIZATION_TO_POSTSYNAPTIC_SPECIALIZATION_MEMBRANE")</f>
        <v>GOBP_NEUROTRANSMITTER_RECEPTOR_LOCALIZATION_TO_POSTSYNAPTIC_SPECIALIZATION_MEMBRANE</v>
      </c>
      <c r="C6105" s="4">
        <v>41</v>
      </c>
      <c r="D6105" s="3">
        <v>-1.3720467000000001</v>
      </c>
      <c r="E6105" s="1">
        <v>5.6410256999999998E-2</v>
      </c>
      <c r="F6105" s="2">
        <v>0.25330034000000001</v>
      </c>
    </row>
    <row r="6106" spans="1:6" x14ac:dyDescent="0.25">
      <c r="A6106" t="s">
        <v>10</v>
      </c>
      <c r="B6106" s="5" t="str">
        <f>HYPERLINK("http://www.broadinstitute.org/gsea/msigdb/cards/REACTOME_SWITCHING_OF_ORIGINS_TO_A_POST_REPLICATIVE_STATE.html","REACTOME_SWITCHING_OF_ORIGINS_TO_A_POST_REPLICATIVE_STATE")</f>
        <v>REACTOME_SWITCHING_OF_ORIGINS_TO_A_POST_REPLICATIVE_STATE</v>
      </c>
      <c r="C6106" s="4">
        <v>91</v>
      </c>
      <c r="D6106" s="3">
        <v>-1.3722555999999999</v>
      </c>
      <c r="E6106" s="1">
        <v>2.0408163E-2</v>
      </c>
      <c r="F6106" s="2">
        <v>0.25348678000000002</v>
      </c>
    </row>
    <row r="6107" spans="1:6" x14ac:dyDescent="0.25">
      <c r="A6107" t="s">
        <v>7</v>
      </c>
      <c r="B6107" s="5" t="str">
        <f>HYPERLINK("http://www.broadinstitute.org/gsea/msigdb/cards/GOCC_PHOTORECEPTOR_OUTER_SEGMENT.html","GOCC_PHOTORECEPTOR_OUTER_SEGMENT")</f>
        <v>GOCC_PHOTORECEPTOR_OUTER_SEGMENT</v>
      </c>
      <c r="C6107" s="4">
        <v>86</v>
      </c>
      <c r="D6107" s="3">
        <v>-1.3743829999999999</v>
      </c>
      <c r="E6107" s="1">
        <v>3.1007752E-2</v>
      </c>
      <c r="F6107" s="2">
        <v>0.25061896</v>
      </c>
    </row>
    <row r="6108" spans="1:6" x14ac:dyDescent="0.25">
      <c r="A6108" t="s">
        <v>6</v>
      </c>
      <c r="B6108" s="5" t="str">
        <f>HYPERLINK("http://www.broadinstitute.org/gsea/msigdb/cards/GOBP_POSITIVE_REGULATION_OF_STEM_CELL_DIFFERENTIATION.html","GOBP_POSITIVE_REGULATION_OF_STEM_CELL_DIFFERENTIATION")</f>
        <v>GOBP_POSITIVE_REGULATION_OF_STEM_CELL_DIFFERENTIATION</v>
      </c>
      <c r="C6108" s="4">
        <v>23</v>
      </c>
      <c r="D6108" s="3">
        <v>-1.3756329</v>
      </c>
      <c r="E6108" s="1">
        <v>8.1585080000000004E-2</v>
      </c>
      <c r="F6108" s="2">
        <v>0.24914177000000001</v>
      </c>
    </row>
    <row r="6109" spans="1:6" x14ac:dyDescent="0.25">
      <c r="A6109" t="s">
        <v>6</v>
      </c>
      <c r="B6109" s="5" t="str">
        <f>HYPERLINK("http://www.broadinstitute.org/gsea/msigdb/cards/GOBP_POSITIVE_REGULATION_OF_CATION_CHANNEL_ACTIVITY.html","GOBP_POSITIVE_REGULATION_OF_CATION_CHANNEL_ACTIVITY")</f>
        <v>GOBP_POSITIVE_REGULATION_OF_CATION_CHANNEL_ACTIVITY</v>
      </c>
      <c r="C6109" s="4">
        <v>70</v>
      </c>
      <c r="D6109" s="3">
        <v>-1.3782772000000001</v>
      </c>
      <c r="E6109" s="1">
        <v>3.2520324000000003E-2</v>
      </c>
      <c r="F6109" s="2">
        <v>0.24555224</v>
      </c>
    </row>
    <row r="6110" spans="1:6" x14ac:dyDescent="0.25">
      <c r="A6110" t="s">
        <v>6</v>
      </c>
      <c r="B6110" s="5" t="str">
        <f>HYPERLINK("http://www.broadinstitute.org/gsea/msigdb/cards/GOBP_NCRNA_PROCESSING.html","GOBP_NCRNA_PROCESSING")</f>
        <v>GOBP_NCRNA_PROCESSING</v>
      </c>
      <c r="C6110" s="4">
        <v>405</v>
      </c>
      <c r="D6110" s="3">
        <v>-1.3785647999999999</v>
      </c>
      <c r="E6110" s="1">
        <v>0</v>
      </c>
      <c r="F6110" s="2">
        <v>0.24556140000000001</v>
      </c>
    </row>
    <row r="6111" spans="1:6" x14ac:dyDescent="0.25">
      <c r="A6111" t="s">
        <v>6</v>
      </c>
      <c r="B6111" s="5" t="str">
        <f>HYPERLINK("http://www.broadinstitute.org/gsea/msigdb/cards/GOBP_CHAPERONE_MEDIATED_PROTEIN_FOLDING.html","GOBP_CHAPERONE_MEDIATED_PROTEIN_FOLDING")</f>
        <v>GOBP_CHAPERONE_MEDIATED_PROTEIN_FOLDING</v>
      </c>
      <c r="C6111" s="4">
        <v>60</v>
      </c>
      <c r="D6111" s="3">
        <v>-1.3790743000000001</v>
      </c>
      <c r="E6111" s="1">
        <v>4.4386424000000001E-2</v>
      </c>
      <c r="F6111" s="2">
        <v>0.24535182</v>
      </c>
    </row>
    <row r="6112" spans="1:6" x14ac:dyDescent="0.25">
      <c r="A6112" t="s">
        <v>8</v>
      </c>
      <c r="B6112" s="5" t="str">
        <f>HYPERLINK("http://www.broadinstitute.org/gsea/msigdb/cards/GOMF_PRIMARY_ACTIVE_TRANSMEMBRANE_TRANSPORTER_ACTIVITY.html","GOMF_PRIMARY_ACTIVE_TRANSMEMBRANE_TRANSPORTER_ACTIVITY")</f>
        <v>GOMF_PRIMARY_ACTIVE_TRANSMEMBRANE_TRANSPORTER_ACTIVITY</v>
      </c>
      <c r="C6112" s="4">
        <v>128</v>
      </c>
      <c r="D6112" s="3">
        <v>-1.379216</v>
      </c>
      <c r="E6112" s="1">
        <v>1.7647059999999999E-2</v>
      </c>
      <c r="F6112" s="2">
        <v>0.24561553999999999</v>
      </c>
    </row>
    <row r="6113" spans="1:6" x14ac:dyDescent="0.25">
      <c r="A6113" t="s">
        <v>10</v>
      </c>
      <c r="B6113" s="5" t="str">
        <f>HYPERLINK("http://www.broadinstitute.org/gsea/msigdb/cards/REACTOME_MITOTIC_G2_G2_M_PHASES.html","REACTOME_MITOTIC_G2_G2_M_PHASES")</f>
        <v>REACTOME_MITOTIC_G2_G2_M_PHASES</v>
      </c>
      <c r="C6113" s="4">
        <v>181</v>
      </c>
      <c r="D6113" s="3">
        <v>-1.3800878999999999</v>
      </c>
      <c r="E6113" s="1">
        <v>6.9930069999999999E-3</v>
      </c>
      <c r="F6113" s="2">
        <v>0.24464913999999999</v>
      </c>
    </row>
    <row r="6114" spans="1:6" x14ac:dyDescent="0.25">
      <c r="A6114" t="s">
        <v>7</v>
      </c>
      <c r="B6114" s="5" t="str">
        <f>HYPERLINK("http://www.broadinstitute.org/gsea/msigdb/cards/GOCC_RNA_POLYMERASE_III_COMPLEX.html","GOCC_RNA_POLYMERASE_III_COMPLEX")</f>
        <v>GOCC_RNA_POLYMERASE_III_COMPLEX</v>
      </c>
      <c r="C6114" s="4">
        <v>18</v>
      </c>
      <c r="D6114" s="3">
        <v>-1.3806522999999999</v>
      </c>
      <c r="E6114" s="1">
        <v>8.0097089999999996E-2</v>
      </c>
      <c r="F6114" s="2">
        <v>0.2443139</v>
      </c>
    </row>
    <row r="6115" spans="1:6" x14ac:dyDescent="0.25">
      <c r="A6115" t="s">
        <v>6</v>
      </c>
      <c r="B6115" s="5" t="str">
        <f>HYPERLINK("http://www.broadinstitute.org/gsea/msigdb/cards/GOBP_GENITALIA_DEVELOPMENT.html","GOBP_GENITALIA_DEVELOPMENT")</f>
        <v>GOBP_GENITALIA_DEVELOPMENT</v>
      </c>
      <c r="C6115" s="4">
        <v>48</v>
      </c>
      <c r="D6115" s="3">
        <v>-1.3813588999999999</v>
      </c>
      <c r="E6115" s="1">
        <v>5.4187194000000001E-2</v>
      </c>
      <c r="F6115" s="2">
        <v>0.24367166000000001</v>
      </c>
    </row>
    <row r="6116" spans="1:6" x14ac:dyDescent="0.25">
      <c r="A6116" t="s">
        <v>6</v>
      </c>
      <c r="B6116" s="5" t="str">
        <f>HYPERLINK("http://www.broadinstitute.org/gsea/msigdb/cards/GOBP_SKELETAL_MUSCLE_CELL_DIFFERENTIATION.html","GOBP_SKELETAL_MUSCLE_CELL_DIFFERENTIATION")</f>
        <v>GOBP_SKELETAL_MUSCLE_CELL_DIFFERENTIATION</v>
      </c>
      <c r="C6116" s="4">
        <v>87</v>
      </c>
      <c r="D6116" s="3">
        <v>-1.3816404</v>
      </c>
      <c r="E6116" s="1">
        <v>2.8409092E-2</v>
      </c>
      <c r="F6116" s="2">
        <v>0.24368559000000001</v>
      </c>
    </row>
    <row r="6117" spans="1:6" x14ac:dyDescent="0.25">
      <c r="A6117" t="s">
        <v>10</v>
      </c>
      <c r="B6117" s="5" t="str">
        <f>HYPERLINK("http://www.broadinstitute.org/gsea/msigdb/cards/REACTOME_DEACTIVATION_OF_THE_BETA_CATENIN_TRANSACTIVATING_COMPLEX.html","REACTOME_DEACTIVATION_OF_THE_BETA_CATENIN_TRANSACTIVATING_COMPLEX")</f>
        <v>REACTOME_DEACTIVATION_OF_THE_BETA_CATENIN_TRANSACTIVATING_COMPLEX</v>
      </c>
      <c r="C6117" s="4">
        <v>31</v>
      </c>
      <c r="D6117" s="3">
        <v>-1.3817933</v>
      </c>
      <c r="E6117" s="1">
        <v>8.8161210000000004E-2</v>
      </c>
      <c r="F6117" s="2">
        <v>0.24396403</v>
      </c>
    </row>
    <row r="6118" spans="1:6" x14ac:dyDescent="0.25">
      <c r="A6118" t="s">
        <v>9</v>
      </c>
      <c r="B6118" s="5" t="str">
        <f>HYPERLINK("http://www.broadinstitute.org/gsea/msigdb/cards/HALLMARK_G2M_CHECKPOINT.html","HALLMARK_G2M_CHECKPOINT")</f>
        <v>HALLMARK_G2M_CHECKPOINT</v>
      </c>
      <c r="C6118" s="4">
        <v>195</v>
      </c>
      <c r="D6118" s="3">
        <v>-1.3819292999999999</v>
      </c>
      <c r="E6118" s="1">
        <v>6.688963E-3</v>
      </c>
      <c r="F6118" s="2">
        <v>0.24422626</v>
      </c>
    </row>
    <row r="6119" spans="1:6" x14ac:dyDescent="0.25">
      <c r="A6119" t="s">
        <v>6</v>
      </c>
      <c r="B6119" s="5" t="str">
        <f>HYPERLINK("http://www.broadinstitute.org/gsea/msigdb/cards/GOBP_ADENOHYPOPHYSIS_DEVELOPMENT.html","GOBP_ADENOHYPOPHYSIS_DEVELOPMENT")</f>
        <v>GOBP_ADENOHYPOPHYSIS_DEVELOPMENT</v>
      </c>
      <c r="C6119" s="4">
        <v>16</v>
      </c>
      <c r="D6119" s="3">
        <v>-1.3831074999999999</v>
      </c>
      <c r="E6119" s="1">
        <v>9.9514569999999997E-2</v>
      </c>
      <c r="F6119" s="2">
        <v>0.24290033</v>
      </c>
    </row>
    <row r="6120" spans="1:6" x14ac:dyDescent="0.25">
      <c r="A6120" t="s">
        <v>7</v>
      </c>
      <c r="B6120" s="5" t="str">
        <f>HYPERLINK("http://www.broadinstitute.org/gsea/msigdb/cards/GOCC_PCG_PROTEIN_COMPLEX.html","GOCC_PCG_PROTEIN_COMPLEX")</f>
        <v>GOCC_PCG_PROTEIN_COMPLEX</v>
      </c>
      <c r="C6120" s="4">
        <v>46</v>
      </c>
      <c r="D6120" s="3">
        <v>-1.3869278</v>
      </c>
      <c r="E6120" s="1">
        <v>3.9215687999999999E-2</v>
      </c>
      <c r="F6120" s="2">
        <v>0.23794963999999999</v>
      </c>
    </row>
    <row r="6121" spans="1:6" x14ac:dyDescent="0.25">
      <c r="A6121" t="s">
        <v>8</v>
      </c>
      <c r="B6121" s="5" t="str">
        <f>HYPERLINK("http://www.broadinstitute.org/gsea/msigdb/cards/GOMF_HISTONE_H3_METHYLTRANSFERASE_ACTIVITY.html","GOMF_HISTONE_H3_METHYLTRANSFERASE_ACTIVITY")</f>
        <v>GOMF_HISTONE_H3_METHYLTRANSFERASE_ACTIVITY</v>
      </c>
      <c r="C6121" s="4">
        <v>40</v>
      </c>
      <c r="D6121" s="3">
        <v>-1.3872652000000001</v>
      </c>
      <c r="E6121" s="1">
        <v>5.0251257000000001E-2</v>
      </c>
      <c r="F6121" s="2">
        <v>0.23788655</v>
      </c>
    </row>
    <row r="6122" spans="1:6" x14ac:dyDescent="0.25">
      <c r="A6122" t="s">
        <v>7</v>
      </c>
      <c r="B6122" s="5" t="str">
        <f>HYPERLINK("http://www.broadinstitute.org/gsea/msigdb/cards/GOCC_MYELIN_SHEATH.html","GOCC_MYELIN_SHEATH")</f>
        <v>GOCC_MYELIN_SHEATH</v>
      </c>
      <c r="C6122" s="4">
        <v>206</v>
      </c>
      <c r="D6122" s="3">
        <v>-1.3875257999999999</v>
      </c>
      <c r="E6122" s="1">
        <v>7.352941E-3</v>
      </c>
      <c r="F6122" s="2">
        <v>0.23794873</v>
      </c>
    </row>
    <row r="6123" spans="1:6" x14ac:dyDescent="0.25">
      <c r="A6123" t="s">
        <v>6</v>
      </c>
      <c r="B6123" s="5" t="str">
        <f>HYPERLINK("http://www.broadinstitute.org/gsea/msigdb/cards/GOBP_INNER_MITOCHONDRIAL_MEMBRANE_ORGANIZATION.html","GOBP_INNER_MITOCHONDRIAL_MEMBRANE_ORGANIZATION")</f>
        <v>GOBP_INNER_MITOCHONDRIAL_MEMBRANE_ORGANIZATION</v>
      </c>
      <c r="C6123" s="4">
        <v>35</v>
      </c>
      <c r="D6123" s="3">
        <v>-1.3883586999999999</v>
      </c>
      <c r="E6123" s="1">
        <v>5.9895832000000003E-2</v>
      </c>
      <c r="F6123" s="2">
        <v>0.23722771000000001</v>
      </c>
    </row>
    <row r="6124" spans="1:6" x14ac:dyDescent="0.25">
      <c r="A6124" t="s">
        <v>6</v>
      </c>
      <c r="B6124" s="5" t="str">
        <f>HYPERLINK("http://www.broadinstitute.org/gsea/msigdb/cards/GOBP_EXCITATORY_POSTSYNAPTIC_POTENTIAL.html","GOBP_EXCITATORY_POSTSYNAPTIC_POTENTIAL")</f>
        <v>GOBP_EXCITATORY_POSTSYNAPTIC_POTENTIAL</v>
      </c>
      <c r="C6124" s="4">
        <v>95</v>
      </c>
      <c r="D6124" s="3">
        <v>-1.3895843999999999</v>
      </c>
      <c r="E6124" s="1">
        <v>2.9069767999999999E-2</v>
      </c>
      <c r="F6124" s="2">
        <v>0.23590671999999999</v>
      </c>
    </row>
    <row r="6125" spans="1:6" x14ac:dyDescent="0.25">
      <c r="A6125" t="s">
        <v>6</v>
      </c>
      <c r="B6125" s="5" t="str">
        <f>HYPERLINK("http://www.broadinstitute.org/gsea/msigdb/cards/GOBP_POLY_A_PLUS_MRNA_EXPORT_FROM_NUCLEUS.html","GOBP_POLY_A_PLUS_MRNA_EXPORT_FROM_NUCLEUS")</f>
        <v>GOBP_POLY_A_PLUS_MRNA_EXPORT_FROM_NUCLEUS</v>
      </c>
      <c r="C6125" s="4">
        <v>22</v>
      </c>
      <c r="D6125" s="3">
        <v>-1.3898917</v>
      </c>
      <c r="E6125" s="1">
        <v>7.3232320000000004E-2</v>
      </c>
      <c r="F6125" s="2">
        <v>0.23592911999999999</v>
      </c>
    </row>
    <row r="6126" spans="1:6" x14ac:dyDescent="0.25">
      <c r="A6126" t="s">
        <v>10</v>
      </c>
      <c r="B6126" s="5" t="str">
        <f>HYPERLINK("http://www.broadinstitute.org/gsea/msigdb/cards/REACTOME_PROCESSING_OF_INTRONLESS_PRE_MRNAS.html","REACTOME_PROCESSING_OF_INTRONLESS_PRE_MRNAS")</f>
        <v>REACTOME_PROCESSING_OF_INTRONLESS_PRE_MRNAS</v>
      </c>
      <c r="C6126" s="4">
        <v>20</v>
      </c>
      <c r="D6126" s="3">
        <v>-1.3907862</v>
      </c>
      <c r="E6126" s="1">
        <v>9.6618354000000004E-2</v>
      </c>
      <c r="F6126" s="2">
        <v>0.23499666</v>
      </c>
    </row>
    <row r="6127" spans="1:6" x14ac:dyDescent="0.25">
      <c r="A6127" t="s">
        <v>6</v>
      </c>
      <c r="B6127" s="5" t="str">
        <f>HYPERLINK("http://www.broadinstitute.org/gsea/msigdb/cards/GOBP_DNA_REPLICATION.html","GOBP_DNA_REPLICATION")</f>
        <v>GOBP_DNA_REPLICATION</v>
      </c>
      <c r="C6127" s="4">
        <v>271</v>
      </c>
      <c r="D6127" s="3">
        <v>-1.3915055999999999</v>
      </c>
      <c r="E6127" s="1">
        <v>0</v>
      </c>
      <c r="F6127" s="2">
        <v>0.23437046</v>
      </c>
    </row>
    <row r="6128" spans="1:6" x14ac:dyDescent="0.25">
      <c r="A6128" t="s">
        <v>8</v>
      </c>
      <c r="B6128" s="5" t="str">
        <f>HYPERLINK("http://www.broadinstitute.org/gsea/msigdb/cards/GOMF_TRANSCRIPTION_COREGULATOR_ACTIVITY.html","GOMF_TRANSCRIPTION_COREGULATOR_ACTIVITY")</f>
        <v>GOMF_TRANSCRIPTION_COREGULATOR_ACTIVITY</v>
      </c>
      <c r="C6128" s="4">
        <v>481</v>
      </c>
      <c r="D6128" s="3">
        <v>-1.3919090999999999</v>
      </c>
      <c r="E6128" s="1">
        <v>4.6082950000000001E-3</v>
      </c>
      <c r="F6128" s="2">
        <v>0.23425597000000001</v>
      </c>
    </row>
    <row r="6129" spans="1:6" x14ac:dyDescent="0.25">
      <c r="A6129" t="s">
        <v>10</v>
      </c>
      <c r="B6129" s="5" t="str">
        <f>HYPERLINK("http://www.broadinstitute.org/gsea/msigdb/cards/REACTOME_PCNA_DEPENDENT_LONG_PATCH_BASE_EXCISION_REPAIR.html","REACTOME_PCNA_DEPENDENT_LONG_PATCH_BASE_EXCISION_REPAIR")</f>
        <v>REACTOME_PCNA_DEPENDENT_LONG_PATCH_BASE_EXCISION_REPAIR</v>
      </c>
      <c r="C6129" s="4">
        <v>20</v>
      </c>
      <c r="D6129" s="3">
        <v>-1.3920939999999999</v>
      </c>
      <c r="E6129" s="1">
        <v>7.0329669999999997E-2</v>
      </c>
      <c r="F6129" s="2">
        <v>0.2344301</v>
      </c>
    </row>
    <row r="6130" spans="1:6" x14ac:dyDescent="0.25">
      <c r="A6130" t="s">
        <v>6</v>
      </c>
      <c r="B6130" s="5" t="str">
        <f>HYPERLINK("http://www.broadinstitute.org/gsea/msigdb/cards/GOBP_GAMMA_AMINOBUTYRIC_ACID_SIGNALING_PATHWAY.html","GOBP_GAMMA_AMINOBUTYRIC_ACID_SIGNALING_PATHWAY")</f>
        <v>GOBP_GAMMA_AMINOBUTYRIC_ACID_SIGNALING_PATHWAY</v>
      </c>
      <c r="C6130" s="4">
        <v>30</v>
      </c>
      <c r="D6130" s="3">
        <v>-1.3924186000000001</v>
      </c>
      <c r="E6130" s="1">
        <v>6.6014669999999998E-2</v>
      </c>
      <c r="F6130" s="2">
        <v>0.23444325999999999</v>
      </c>
    </row>
    <row r="6131" spans="1:6" x14ac:dyDescent="0.25">
      <c r="A6131" t="s">
        <v>6</v>
      </c>
      <c r="B6131" s="5" t="str">
        <f>HYPERLINK("http://www.broadinstitute.org/gsea/msigdb/cards/GOBP_VENTRAL_SPINAL_CORD_DEVELOPMENT.html","GOBP_VENTRAL_SPINAL_CORD_DEVELOPMENT")</f>
        <v>GOBP_VENTRAL_SPINAL_CORD_DEVELOPMENT</v>
      </c>
      <c r="C6131" s="4">
        <v>48</v>
      </c>
      <c r="D6131" s="3">
        <v>-1.3930484999999999</v>
      </c>
      <c r="E6131" s="1">
        <v>5.3658537999999999E-2</v>
      </c>
      <c r="F6131" s="2">
        <v>0.23398793000000001</v>
      </c>
    </row>
    <row r="6132" spans="1:6" x14ac:dyDescent="0.25">
      <c r="A6132" t="s">
        <v>6</v>
      </c>
      <c r="B6132" s="5" t="str">
        <f>HYPERLINK("http://www.broadinstitute.org/gsea/msigdb/cards/GOBP_REGULATION_OF_CHROMOSOME_SEGREGATION.html","GOBP_REGULATION_OF_CHROMOSOME_SEGREGATION")</f>
        <v>GOBP_REGULATION_OF_CHROMOSOME_SEGREGATION</v>
      </c>
      <c r="C6132" s="4">
        <v>128</v>
      </c>
      <c r="D6132" s="3">
        <v>-1.3931617999999999</v>
      </c>
      <c r="E6132" s="1">
        <v>2.0134227000000001E-2</v>
      </c>
      <c r="F6132" s="2">
        <v>0.23430049999999999</v>
      </c>
    </row>
    <row r="6133" spans="1:6" x14ac:dyDescent="0.25">
      <c r="A6133" t="s">
        <v>6</v>
      </c>
      <c r="B6133" s="5" t="str">
        <f>HYPERLINK("http://www.broadinstitute.org/gsea/msigdb/cards/GOBP_POSITIVE_REGULATION_OF_STRIATED_MUSCLE_CELL_DIFFERENTIATION.html","GOBP_POSITIVE_REGULATION_OF_STRIATED_MUSCLE_CELL_DIFFERENTIATION")</f>
        <v>GOBP_POSITIVE_REGULATION_OF_STRIATED_MUSCLE_CELL_DIFFERENTIATION</v>
      </c>
      <c r="C6133" s="4">
        <v>58</v>
      </c>
      <c r="D6133" s="3">
        <v>-1.3933392</v>
      </c>
      <c r="E6133" s="1">
        <v>3.5911600000000002E-2</v>
      </c>
      <c r="F6133" s="2">
        <v>0.23449407999999999</v>
      </c>
    </row>
    <row r="6134" spans="1:6" x14ac:dyDescent="0.25">
      <c r="A6134" t="s">
        <v>6</v>
      </c>
      <c r="B6134" s="5" t="str">
        <f>HYPERLINK("http://www.broadinstitute.org/gsea/msigdb/cards/GOBP_REGULATION_OF_SHORT_TERM_NEURONAL_SYNAPTIC_PLASTICITY.html","GOBP_REGULATION_OF_SHORT_TERM_NEURONAL_SYNAPTIC_PLASTICITY")</f>
        <v>GOBP_REGULATION_OF_SHORT_TERM_NEURONAL_SYNAPTIC_PLASTICITY</v>
      </c>
      <c r="C6134" s="4">
        <v>21</v>
      </c>
      <c r="D6134" s="3">
        <v>-1.3938999999999999</v>
      </c>
      <c r="E6134" s="1">
        <v>7.7647060000000004E-2</v>
      </c>
      <c r="F6134" s="2">
        <v>0.23414546</v>
      </c>
    </row>
    <row r="6135" spans="1:6" x14ac:dyDescent="0.25">
      <c r="A6135" t="s">
        <v>6</v>
      </c>
      <c r="B6135" s="5" t="str">
        <f>HYPERLINK("http://www.broadinstitute.org/gsea/msigdb/cards/GOBP_MITOCHONDRIAL_MEMBRANE_ORGANIZATION.html","GOBP_MITOCHONDRIAL_MEMBRANE_ORGANIZATION")</f>
        <v>GOBP_MITOCHONDRIAL_MEMBRANE_ORGANIZATION</v>
      </c>
      <c r="C6135" s="4">
        <v>110</v>
      </c>
      <c r="D6135" s="3">
        <v>-1.3943836999999999</v>
      </c>
      <c r="E6135" s="1">
        <v>2.6785715000000002E-2</v>
      </c>
      <c r="F6135" s="2">
        <v>0.23391397</v>
      </c>
    </row>
    <row r="6136" spans="1:6" x14ac:dyDescent="0.25">
      <c r="A6136" t="s">
        <v>6</v>
      </c>
      <c r="B6136" s="5" t="str">
        <f>HYPERLINK("http://www.broadinstitute.org/gsea/msigdb/cards/GOBP_PEPTIDYL_ARGININE_MODIFICATION.html","GOBP_PEPTIDYL_ARGININE_MODIFICATION")</f>
        <v>GOBP_PEPTIDYL_ARGININE_MODIFICATION</v>
      </c>
      <c r="C6136" s="4">
        <v>16</v>
      </c>
      <c r="D6136" s="3">
        <v>-1.3950205</v>
      </c>
      <c r="E6136" s="1">
        <v>0.1031175</v>
      </c>
      <c r="F6136" s="2">
        <v>0.23351283</v>
      </c>
    </row>
    <row r="6137" spans="1:6" x14ac:dyDescent="0.25">
      <c r="A6137" t="s">
        <v>8</v>
      </c>
      <c r="B6137" s="5" t="str">
        <f>HYPERLINK("http://www.broadinstitute.org/gsea/msigdb/cards/GOMF_PROTEIN_METHYLTRANSFERASE_ACTIVITY.html","GOMF_PROTEIN_METHYLTRANSFERASE_ACTIVITY")</f>
        <v>GOMF_PROTEIN_METHYLTRANSFERASE_ACTIVITY</v>
      </c>
      <c r="C6137" s="4">
        <v>89</v>
      </c>
      <c r="D6137" s="3">
        <v>-1.3957484</v>
      </c>
      <c r="E6137" s="1">
        <v>1.9886363000000001E-2</v>
      </c>
      <c r="F6137" s="2">
        <v>0.23285565999999999</v>
      </c>
    </row>
    <row r="6138" spans="1:6" x14ac:dyDescent="0.25">
      <c r="A6138" t="s">
        <v>10</v>
      </c>
      <c r="B6138" s="5" t="str">
        <f>HYPERLINK("http://www.broadinstitute.org/gsea/msigdb/cards/REACTOME_RNA_POLYMERASE_III_TRANSCRIPTION.html","REACTOME_RNA_POLYMERASE_III_TRANSCRIPTION")</f>
        <v>REACTOME_RNA_POLYMERASE_III_TRANSCRIPTION</v>
      </c>
      <c r="C6138" s="4">
        <v>34</v>
      </c>
      <c r="D6138" s="3">
        <v>-1.3981372999999999</v>
      </c>
      <c r="E6138" s="1">
        <v>7.4168799999999993E-2</v>
      </c>
      <c r="F6138" s="2">
        <v>0.22975894999999999</v>
      </c>
    </row>
    <row r="6139" spans="1:6" x14ac:dyDescent="0.25">
      <c r="A6139" t="s">
        <v>6</v>
      </c>
      <c r="B6139" s="5" t="str">
        <f>HYPERLINK("http://www.broadinstitute.org/gsea/msigdb/cards/GOBP_PSEUDOURIDINE_SYNTHESIS.html","GOBP_PSEUDOURIDINE_SYNTHESIS")</f>
        <v>GOBP_PSEUDOURIDINE_SYNTHESIS</v>
      </c>
      <c r="C6139" s="4">
        <v>18</v>
      </c>
      <c r="D6139" s="3">
        <v>-1.3987018</v>
      </c>
      <c r="E6139" s="1">
        <v>8.3333335999999994E-2</v>
      </c>
      <c r="F6139" s="2">
        <v>0.22941454999999999</v>
      </c>
    </row>
    <row r="6140" spans="1:6" x14ac:dyDescent="0.25">
      <c r="A6140" t="s">
        <v>7</v>
      </c>
      <c r="B6140" s="5" t="str">
        <f>HYPERLINK("http://www.broadinstitute.org/gsea/msigdb/cards/GOCC_VOLTAGE_GATED_CALCIUM_CHANNEL_COMPLEX.html","GOCC_VOLTAGE_GATED_CALCIUM_CHANNEL_COMPLEX")</f>
        <v>GOCC_VOLTAGE_GATED_CALCIUM_CHANNEL_COMPLEX</v>
      </c>
      <c r="C6140" s="4">
        <v>40</v>
      </c>
      <c r="D6140" s="3">
        <v>-1.398746</v>
      </c>
      <c r="E6140" s="1">
        <v>5.3435112999999999E-2</v>
      </c>
      <c r="F6140" s="2">
        <v>0.22981393</v>
      </c>
    </row>
    <row r="6141" spans="1:6" x14ac:dyDescent="0.25">
      <c r="A6141" t="s">
        <v>10</v>
      </c>
      <c r="B6141" s="5" t="str">
        <f>HYPERLINK("http://www.broadinstitute.org/gsea/msigdb/cards/REACTOME_REGULATION_OF_RUNX3_EXPRESSION_AND_ACTIVITY.html","REACTOME_REGULATION_OF_RUNX3_EXPRESSION_AND_ACTIVITY")</f>
        <v>REACTOME_REGULATION_OF_RUNX3_EXPRESSION_AND_ACTIVITY</v>
      </c>
      <c r="C6141" s="4">
        <v>53</v>
      </c>
      <c r="D6141" s="3">
        <v>-1.3992990999999999</v>
      </c>
      <c r="E6141" s="1">
        <v>4.359673E-2</v>
      </c>
      <c r="F6141" s="2">
        <v>0.22949997999999999</v>
      </c>
    </row>
    <row r="6142" spans="1:6" x14ac:dyDescent="0.25">
      <c r="A6142" t="s">
        <v>8</v>
      </c>
      <c r="B6142" s="5" t="str">
        <f>HYPERLINK("http://www.broadinstitute.org/gsea/msigdb/cards/GOMF_LNCRNA_BINDING.html","GOMF_LNCRNA_BINDING")</f>
        <v>GOMF_LNCRNA_BINDING</v>
      </c>
      <c r="C6142" s="4">
        <v>19</v>
      </c>
      <c r="D6142" s="3">
        <v>-1.4002222</v>
      </c>
      <c r="E6142" s="1">
        <v>7.2261069999999997E-2</v>
      </c>
      <c r="F6142" s="2">
        <v>0.22865643999999999</v>
      </c>
    </row>
    <row r="6143" spans="1:6" x14ac:dyDescent="0.25">
      <c r="A6143" t="s">
        <v>10</v>
      </c>
      <c r="B6143" s="5" t="str">
        <f>HYPERLINK("http://www.broadinstitute.org/gsea/msigdb/cards/REACTOME_MITOCHONDRIAL_FATTY_ACID_BETA_OXIDATION.html","REACTOME_MITOCHONDRIAL_FATTY_ACID_BETA_OXIDATION")</f>
        <v>REACTOME_MITOCHONDRIAL_FATTY_ACID_BETA_OXIDATION</v>
      </c>
      <c r="C6143" s="4">
        <v>37</v>
      </c>
      <c r="D6143" s="3">
        <v>-1.4018254999999999</v>
      </c>
      <c r="E6143" s="1">
        <v>5.8823529999999999E-2</v>
      </c>
      <c r="F6143" s="2">
        <v>0.22688401999999999</v>
      </c>
    </row>
    <row r="6144" spans="1:6" x14ac:dyDescent="0.25">
      <c r="A6144" t="s">
        <v>7</v>
      </c>
      <c r="B6144" s="5" t="str">
        <f>HYPERLINK("http://www.broadinstitute.org/gsea/msigdb/cards/GOCC_NODE_OF_RANVIER.html","GOCC_NODE_OF_RANVIER")</f>
        <v>GOCC_NODE_OF_RANVIER</v>
      </c>
      <c r="C6144" s="4">
        <v>19</v>
      </c>
      <c r="D6144" s="3">
        <v>-1.4029214000000001</v>
      </c>
      <c r="E6144" s="1">
        <v>0.10093897</v>
      </c>
      <c r="F6144" s="2">
        <v>0.22572909999999999</v>
      </c>
    </row>
    <row r="6145" spans="1:6" x14ac:dyDescent="0.25">
      <c r="A6145" t="s">
        <v>6</v>
      </c>
      <c r="B6145" s="5" t="str">
        <f>HYPERLINK("http://www.broadinstitute.org/gsea/msigdb/cards/GOBP_POSITIVE_REGULATION_OF_MESENCHYMAL_CELL_PROLIFERATION.html","GOBP_POSITIVE_REGULATION_OF_MESENCHYMAL_CELL_PROLIFERATION")</f>
        <v>GOBP_POSITIVE_REGULATION_OF_MESENCHYMAL_CELL_PROLIFERATION</v>
      </c>
      <c r="C6145" s="4">
        <v>33</v>
      </c>
      <c r="D6145" s="3">
        <v>-1.4042835</v>
      </c>
      <c r="E6145" s="1">
        <v>3.9312039999999999E-2</v>
      </c>
      <c r="F6145" s="2">
        <v>0.22421764</v>
      </c>
    </row>
    <row r="6146" spans="1:6" x14ac:dyDescent="0.25">
      <c r="A6146" t="s">
        <v>8</v>
      </c>
      <c r="B6146" s="5" t="str">
        <f>HYPERLINK("http://www.broadinstitute.org/gsea/msigdb/cards/GOMF_NUCLEOSOME_BINDING.html","GOMF_NUCLEOSOME_BINDING")</f>
        <v>GOMF_NUCLEOSOME_BINDING</v>
      </c>
      <c r="C6146" s="4">
        <v>49</v>
      </c>
      <c r="D6146" s="3">
        <v>-1.4049103999999999</v>
      </c>
      <c r="E6146" s="1">
        <v>4.2895443999999998E-2</v>
      </c>
      <c r="F6146" s="2">
        <v>0.22387116000000001</v>
      </c>
    </row>
    <row r="6147" spans="1:6" x14ac:dyDescent="0.25">
      <c r="A6147" t="s">
        <v>6</v>
      </c>
      <c r="B6147" s="5" t="str">
        <f>HYPERLINK("http://www.broadinstitute.org/gsea/msigdb/cards/GOBP_ATRIAL_CARDIAC_MUSCLE_TISSUE_DEVELOPMENT.html","GOBP_ATRIAL_CARDIAC_MUSCLE_TISSUE_DEVELOPMENT")</f>
        <v>GOBP_ATRIAL_CARDIAC_MUSCLE_TISSUE_DEVELOPMENT</v>
      </c>
      <c r="C6147" s="4">
        <v>18</v>
      </c>
      <c r="D6147" s="3">
        <v>-1.4066098</v>
      </c>
      <c r="E6147" s="1">
        <v>8.3900230000000006E-2</v>
      </c>
      <c r="F6147" s="2">
        <v>0.22189987</v>
      </c>
    </row>
    <row r="6148" spans="1:6" x14ac:dyDescent="0.25">
      <c r="A6148" t="s">
        <v>10</v>
      </c>
      <c r="B6148" s="5" t="str">
        <f>HYPERLINK("http://www.broadinstitute.org/gsea/msigdb/cards/REACTOME_REGULATION_OF_MRNA_STABILITY_BY_PROTEINS_THAT_BIND_AU_RICH_ELEMENTS.html","REACTOME_REGULATION_OF_MRNA_STABILITY_BY_PROTEINS_THAT_BIND_AU_RICH_ELEMENTS")</f>
        <v>REACTOME_REGULATION_OF_MRNA_STABILITY_BY_PROTEINS_THAT_BIND_AU_RICH_ELEMENTS</v>
      </c>
      <c r="C6148" s="4">
        <v>83</v>
      </c>
      <c r="D6148" s="3">
        <v>-1.4067776999999999</v>
      </c>
      <c r="E6148" s="1">
        <v>2.6162789999999998E-2</v>
      </c>
      <c r="F6148" s="2">
        <v>0.22212942999999999</v>
      </c>
    </row>
    <row r="6149" spans="1:6" x14ac:dyDescent="0.25">
      <c r="A6149" t="s">
        <v>7</v>
      </c>
      <c r="B6149" s="5" t="str">
        <f>HYPERLINK("http://www.broadinstitute.org/gsea/msigdb/cards/GOCC_EXTRINSIC_COMPONENT_OF_SYNAPTIC_VESICLE_MEMBRANE.html","GOCC_EXTRINSIC_COMPONENT_OF_SYNAPTIC_VESICLE_MEMBRANE")</f>
        <v>GOCC_EXTRINSIC_COMPONENT_OF_SYNAPTIC_VESICLE_MEMBRANE</v>
      </c>
      <c r="C6149" s="4">
        <v>22</v>
      </c>
      <c r="D6149" s="3">
        <v>-1.4071548</v>
      </c>
      <c r="E6149" s="1">
        <v>4.4155844E-2</v>
      </c>
      <c r="F6149" s="2">
        <v>0.22206321000000001</v>
      </c>
    </row>
    <row r="6150" spans="1:6" x14ac:dyDescent="0.25">
      <c r="A6150" t="s">
        <v>8</v>
      </c>
      <c r="B6150" s="5" t="str">
        <f>HYPERLINK("http://www.broadinstitute.org/gsea/msigdb/cards/GOMF_ALKALI_METAL_ION_BINDING.html","GOMF_ALKALI_METAL_ION_BINDING")</f>
        <v>GOMF_ALKALI_METAL_ION_BINDING</v>
      </c>
      <c r="C6150" s="4">
        <v>25</v>
      </c>
      <c r="D6150" s="3">
        <v>-1.4089951999999999</v>
      </c>
      <c r="E6150" s="1">
        <v>5.8823529999999999E-2</v>
      </c>
      <c r="F6150" s="2">
        <v>0.21984123</v>
      </c>
    </row>
    <row r="6151" spans="1:6" x14ac:dyDescent="0.25">
      <c r="A6151" t="s">
        <v>6</v>
      </c>
      <c r="B6151" s="5" t="str">
        <f>HYPERLINK("http://www.broadinstitute.org/gsea/msigdb/cards/GOBP_PROTEIN_ACETYLATION.html","GOBP_PROTEIN_ACETYLATION")</f>
        <v>GOBP_PROTEIN_ACETYLATION</v>
      </c>
      <c r="C6151" s="4">
        <v>114</v>
      </c>
      <c r="D6151" s="3">
        <v>-1.4093112000000001</v>
      </c>
      <c r="E6151" s="1">
        <v>6.0060060000000004E-3</v>
      </c>
      <c r="F6151" s="2">
        <v>0.21987191</v>
      </c>
    </row>
    <row r="6152" spans="1:6" x14ac:dyDescent="0.25">
      <c r="A6152" t="s">
        <v>7</v>
      </c>
      <c r="B6152" s="5" t="str">
        <f>HYPERLINK("http://www.broadinstitute.org/gsea/msigdb/cards/GOCC_CHROMOSOME_CENTROMERIC_CORE_DOMAIN.html","GOCC_CHROMOSOME_CENTROMERIC_CORE_DOMAIN")</f>
        <v>GOCC_CHROMOSOME_CENTROMERIC_CORE_DOMAIN</v>
      </c>
      <c r="C6152" s="4">
        <v>24</v>
      </c>
      <c r="D6152" s="3">
        <v>-1.4098618999999999</v>
      </c>
      <c r="E6152" s="1">
        <v>6.0827249999999999E-2</v>
      </c>
      <c r="F6152" s="2">
        <v>0.21954356</v>
      </c>
    </row>
    <row r="6153" spans="1:6" x14ac:dyDescent="0.25">
      <c r="A6153" t="s">
        <v>8</v>
      </c>
      <c r="B6153" s="5" t="str">
        <f>HYPERLINK("http://www.broadinstitute.org/gsea/msigdb/cards/GOMF_TRANSCRIPTION_COACTIVATOR_ACTIVITY.html","GOMF_TRANSCRIPTION_COACTIVATOR_ACTIVITY")</f>
        <v>GOMF_TRANSCRIPTION_COACTIVATOR_ACTIVITY</v>
      </c>
      <c r="C6153" s="4">
        <v>263</v>
      </c>
      <c r="D6153" s="3">
        <v>-1.4099698000000001</v>
      </c>
      <c r="E6153" s="1">
        <v>8.3333339999999995E-3</v>
      </c>
      <c r="F6153" s="2">
        <v>0.21983828999999999</v>
      </c>
    </row>
    <row r="6154" spans="1:6" x14ac:dyDescent="0.25">
      <c r="A6154" t="s">
        <v>10</v>
      </c>
      <c r="B6154" s="5" t="str">
        <f>HYPERLINK("http://www.broadinstitute.org/gsea/msigdb/cards/REACTOME_GABA_SYNTHESIS_RELEASE_REUPTAKE_AND_DEGRADATION.html","REACTOME_GABA_SYNTHESIS_RELEASE_REUPTAKE_AND_DEGRADATION")</f>
        <v>REACTOME_GABA_SYNTHESIS_RELEASE_REUPTAKE_AND_DEGRADATION</v>
      </c>
      <c r="C6154" s="4">
        <v>19</v>
      </c>
      <c r="D6154" s="3">
        <v>-1.4100090000000001</v>
      </c>
      <c r="E6154" s="1">
        <v>8.5574575E-2</v>
      </c>
      <c r="F6154" s="2">
        <v>0.22025095</v>
      </c>
    </row>
    <row r="6155" spans="1:6" x14ac:dyDescent="0.25">
      <c r="A6155" t="s">
        <v>6</v>
      </c>
      <c r="B6155" s="5" t="str">
        <f>HYPERLINK("http://www.broadinstitute.org/gsea/msigdb/cards/GOBP_REGULATION_OF_OXIDATIVE_PHOSPHORYLATION.html","GOBP_REGULATION_OF_OXIDATIVE_PHOSPHORYLATION")</f>
        <v>GOBP_REGULATION_OF_OXIDATIVE_PHOSPHORYLATION</v>
      </c>
      <c r="C6155" s="4">
        <v>25</v>
      </c>
      <c r="D6155" s="3">
        <v>-1.4106148000000001</v>
      </c>
      <c r="E6155" s="1">
        <v>8.0568719999999996E-2</v>
      </c>
      <c r="F6155" s="2">
        <v>0.21992159999999999</v>
      </c>
    </row>
    <row r="6156" spans="1:6" x14ac:dyDescent="0.25">
      <c r="A6156" t="s">
        <v>8</v>
      </c>
      <c r="B6156" s="5" t="str">
        <f>HYPERLINK("http://www.broadinstitute.org/gsea/msigdb/cards/GOMF_CYCLIN_BINDING.html","GOMF_CYCLIN_BINDING")</f>
        <v>GOMF_CYCLIN_BINDING</v>
      </c>
      <c r="C6156" s="4">
        <v>34</v>
      </c>
      <c r="D6156" s="3">
        <v>-1.4107319</v>
      </c>
      <c r="E6156" s="1">
        <v>6.9825429999999994E-2</v>
      </c>
      <c r="F6156" s="2">
        <v>0.22022817</v>
      </c>
    </row>
    <row r="6157" spans="1:6" x14ac:dyDescent="0.25">
      <c r="A6157" t="s">
        <v>6</v>
      </c>
      <c r="B6157" s="5" t="str">
        <f>HYPERLINK("http://www.broadinstitute.org/gsea/msigdb/cards/GOBP_RETINAL_CONE_CELL_DIFFERENTIATION.html","GOBP_RETINAL_CONE_CELL_DIFFERENTIATION")</f>
        <v>GOBP_RETINAL_CONE_CELL_DIFFERENTIATION</v>
      </c>
      <c r="C6157" s="4">
        <v>16</v>
      </c>
      <c r="D6157" s="3">
        <v>-1.4108528</v>
      </c>
      <c r="E6157" s="1">
        <v>9.8253270000000004E-2</v>
      </c>
      <c r="F6157" s="2">
        <v>0.22053065999999999</v>
      </c>
    </row>
    <row r="6158" spans="1:6" x14ac:dyDescent="0.25">
      <c r="A6158" t="s">
        <v>6</v>
      </c>
      <c r="B6158" s="5" t="str">
        <f>HYPERLINK("http://www.broadinstitute.org/gsea/msigdb/cards/GOBP_NEUROEPITHELIAL_CELL_DIFFERENTIATION.html","GOBP_NEUROEPITHELIAL_CELL_DIFFERENTIATION")</f>
        <v>GOBP_NEUROEPITHELIAL_CELL_DIFFERENTIATION</v>
      </c>
      <c r="C6158" s="4">
        <v>46</v>
      </c>
      <c r="D6158" s="3">
        <v>-1.4110866</v>
      </c>
      <c r="E6158" s="1">
        <v>4.5918368000000001E-2</v>
      </c>
      <c r="F6158" s="2">
        <v>0.22068502000000001</v>
      </c>
    </row>
    <row r="6159" spans="1:6" x14ac:dyDescent="0.25">
      <c r="A6159" t="s">
        <v>10</v>
      </c>
      <c r="B6159" s="5" t="str">
        <f>HYPERLINK("http://www.broadinstitute.org/gsea/msigdb/cards/REACTOME_FORMATION_OF_RNA_POL_II_ELONGATION_COMPLEX.html","REACTOME_FORMATION_OF_RNA_POL_II_ELONGATION_COMPLEX")</f>
        <v>REACTOME_FORMATION_OF_RNA_POL_II_ELONGATION_COMPLEX</v>
      </c>
      <c r="C6159" s="4">
        <v>55</v>
      </c>
      <c r="D6159" s="3">
        <v>-1.4126966999999999</v>
      </c>
      <c r="E6159" s="1">
        <v>3.3333334999999999E-2</v>
      </c>
      <c r="F6159" s="2">
        <v>0.21889391999999999</v>
      </c>
    </row>
    <row r="6160" spans="1:6" x14ac:dyDescent="0.25">
      <c r="A6160" t="s">
        <v>6</v>
      </c>
      <c r="B6160" s="5" t="str">
        <f>HYPERLINK("http://www.broadinstitute.org/gsea/msigdb/cards/GOBP_MOLTING_CYCLE_PROCESS.html","GOBP_MOLTING_CYCLE_PROCESS")</f>
        <v>GOBP_MOLTING_CYCLE_PROCESS</v>
      </c>
      <c r="C6160" s="4">
        <v>120</v>
      </c>
      <c r="D6160" s="3">
        <v>-1.412922</v>
      </c>
      <c r="E6160" s="1">
        <v>5.7306592E-3</v>
      </c>
      <c r="F6160" s="2">
        <v>0.21908005</v>
      </c>
    </row>
    <row r="6161" spans="1:6" x14ac:dyDescent="0.25">
      <c r="A6161" t="s">
        <v>10</v>
      </c>
      <c r="B6161" s="5" t="str">
        <f>HYPERLINK("http://www.broadinstitute.org/gsea/msigdb/cards/REACTOME_DEADENYLATION_DEPENDENT_MRNA_DECAY.html","REACTOME_DEADENYLATION_DEPENDENT_MRNA_DECAY")</f>
        <v>REACTOME_DEADENYLATION_DEPENDENT_MRNA_DECAY</v>
      </c>
      <c r="C6161" s="4">
        <v>52</v>
      </c>
      <c r="D6161" s="3">
        <v>-1.4135126</v>
      </c>
      <c r="E6161" s="1">
        <v>3.1700287000000001E-2</v>
      </c>
      <c r="F6161" s="2">
        <v>0.21871521999999999</v>
      </c>
    </row>
    <row r="6162" spans="1:6" x14ac:dyDescent="0.25">
      <c r="A6162" t="s">
        <v>11</v>
      </c>
      <c r="B6162" s="5" t="str">
        <f>HYPERLINK("http://www.broadinstitute.org/gsea/msigdb/cards/WP_FATTY_ACID_BIOSYNTHESIS.html","WP_FATTY_ACID_BIOSYNTHESIS")</f>
        <v>WP_FATTY_ACID_BIOSYNTHESIS</v>
      </c>
      <c r="C6162" s="4">
        <v>22</v>
      </c>
      <c r="D6162" s="3">
        <v>-1.4137324</v>
      </c>
      <c r="E6162" s="1">
        <v>5.9382424000000003E-2</v>
      </c>
      <c r="F6162" s="2">
        <v>0.21884149999999999</v>
      </c>
    </row>
    <row r="6163" spans="1:6" x14ac:dyDescent="0.25">
      <c r="A6163" t="s">
        <v>10</v>
      </c>
      <c r="B6163" s="5" t="str">
        <f>HYPERLINK("http://www.broadinstitute.org/gsea/msigdb/cards/REACTOME_APC_C_MEDIATED_DEGRADATION_OF_CELL_CYCLE_PROTEINS.html","REACTOME_APC_C_MEDIATED_DEGRADATION_OF_CELL_CYCLE_PROTEINS")</f>
        <v>REACTOME_APC_C_MEDIATED_DEGRADATION_OF_CELL_CYCLE_PROTEINS</v>
      </c>
      <c r="C6163" s="4">
        <v>86</v>
      </c>
      <c r="D6163" s="3">
        <v>-1.4138902</v>
      </c>
      <c r="E6163" s="1">
        <v>2.6315790000000002E-3</v>
      </c>
      <c r="F6163" s="2">
        <v>0.21912980000000001</v>
      </c>
    </row>
    <row r="6164" spans="1:6" x14ac:dyDescent="0.25">
      <c r="A6164" t="s">
        <v>6</v>
      </c>
      <c r="B6164" s="5" t="str">
        <f>HYPERLINK("http://www.broadinstitute.org/gsea/msigdb/cards/GOBP_REGULATION_OF_TELOMERE_MAINTENANCE_IN_RESPONSE_TO_DNA_DAMAGE.html","GOBP_REGULATION_OF_TELOMERE_MAINTENANCE_IN_RESPONSE_TO_DNA_DAMAGE")</f>
        <v>GOBP_REGULATION_OF_TELOMERE_MAINTENANCE_IN_RESPONSE_TO_DNA_DAMAGE</v>
      </c>
      <c r="C6164" s="4">
        <v>20</v>
      </c>
      <c r="D6164" s="3">
        <v>-1.4140865</v>
      </c>
      <c r="E6164" s="1">
        <v>8.1145585000000006E-2</v>
      </c>
      <c r="F6164" s="2">
        <v>0.21935959999999999</v>
      </c>
    </row>
    <row r="6165" spans="1:6" x14ac:dyDescent="0.25">
      <c r="A6165" t="s">
        <v>6</v>
      </c>
      <c r="B6165" s="5" t="str">
        <f>HYPERLINK("http://www.broadinstitute.org/gsea/msigdb/cards/GOBP_SYNAPTIC_VESICLE_LUMEN_ACIDIFICATION.html","GOBP_SYNAPTIC_VESICLE_LUMEN_ACIDIFICATION")</f>
        <v>GOBP_SYNAPTIC_VESICLE_LUMEN_ACIDIFICATION</v>
      </c>
      <c r="C6165" s="4">
        <v>18</v>
      </c>
      <c r="D6165" s="3">
        <v>-1.4148404999999999</v>
      </c>
      <c r="E6165" s="1">
        <v>6.9930069999999997E-2</v>
      </c>
      <c r="F6165" s="2">
        <v>0.21889715000000001</v>
      </c>
    </row>
    <row r="6166" spans="1:6" x14ac:dyDescent="0.25">
      <c r="A6166" t="s">
        <v>10</v>
      </c>
      <c r="B6166" s="5" t="str">
        <f>HYPERLINK("http://www.broadinstitute.org/gsea/msigdb/cards/REACTOME_REGULATION_OF_RAS_BY_GAPS.html","REACTOME_REGULATION_OF_RAS_BY_GAPS")</f>
        <v>REACTOME_REGULATION_OF_RAS_BY_GAPS</v>
      </c>
      <c r="C6166" s="4">
        <v>66</v>
      </c>
      <c r="D6166" s="3">
        <v>-1.4149247</v>
      </c>
      <c r="E6166" s="1">
        <v>1.9125683000000001E-2</v>
      </c>
      <c r="F6166" s="2">
        <v>0.21927541</v>
      </c>
    </row>
    <row r="6167" spans="1:6" x14ac:dyDescent="0.25">
      <c r="A6167" t="s">
        <v>6</v>
      </c>
      <c r="B6167" s="5" t="str">
        <f>HYPERLINK("http://www.broadinstitute.org/gsea/msigdb/cards/GOBP_HISTONE_H3_K4_METHYLATION.html","GOBP_HISTONE_H3_K4_METHYLATION")</f>
        <v>GOBP_HISTONE_H3_K4_METHYLATION</v>
      </c>
      <c r="C6167" s="4">
        <v>21</v>
      </c>
      <c r="D6167" s="3">
        <v>-1.4152502</v>
      </c>
      <c r="E6167" s="1">
        <v>6.481481E-2</v>
      </c>
      <c r="F6167" s="2">
        <v>0.21928379000000001</v>
      </c>
    </row>
    <row r="6168" spans="1:6" x14ac:dyDescent="0.25">
      <c r="A6168" t="s">
        <v>6</v>
      </c>
      <c r="B6168" s="5" t="str">
        <f>HYPERLINK("http://www.broadinstitute.org/gsea/msigdb/cards/GOBP_APPENDAGE_MORPHOGENESIS.html","GOBP_APPENDAGE_MORPHOGENESIS")</f>
        <v>GOBP_APPENDAGE_MORPHOGENESIS</v>
      </c>
      <c r="C6168" s="4">
        <v>175</v>
      </c>
      <c r="D6168" s="3">
        <v>-1.4152594999999999</v>
      </c>
      <c r="E6168" s="1">
        <v>3.4602077000000001E-3</v>
      </c>
      <c r="F6168" s="2">
        <v>0.21975537000000001</v>
      </c>
    </row>
    <row r="6169" spans="1:6" x14ac:dyDescent="0.25">
      <c r="A6169" t="s">
        <v>10</v>
      </c>
      <c r="B6169" s="5" t="str">
        <f>HYPERLINK("http://www.broadinstitute.org/gsea/msigdb/cards/REACTOME_ORC1_REMOVAL_FROM_CHROMATIN.html","REACTOME_ORC1_REMOVAL_FROM_CHROMATIN")</f>
        <v>REACTOME_ORC1_REMOVAL_FROM_CHROMATIN</v>
      </c>
      <c r="C6169" s="4">
        <v>70</v>
      </c>
      <c r="D6169" s="3">
        <v>-1.4162456999999999</v>
      </c>
      <c r="E6169" s="1">
        <v>2.8947368000000001E-2</v>
      </c>
      <c r="F6169" s="2">
        <v>0.21883278</v>
      </c>
    </row>
    <row r="6170" spans="1:6" x14ac:dyDescent="0.25">
      <c r="A6170" t="s">
        <v>7</v>
      </c>
      <c r="B6170" s="5" t="str">
        <f>HYPERLINK("http://www.broadinstitute.org/gsea/msigdb/cards/GOCC_SIN3_TYPE_COMPLEX.html","GOCC_SIN3_TYPE_COMPLEX")</f>
        <v>GOCC_SIN3_TYPE_COMPLEX</v>
      </c>
      <c r="C6170" s="4">
        <v>21</v>
      </c>
      <c r="D6170" s="3">
        <v>-1.4165633</v>
      </c>
      <c r="E6170" s="1">
        <v>6.1465720000000001E-2</v>
      </c>
      <c r="F6170" s="2">
        <v>0.21884634</v>
      </c>
    </row>
    <row r="6171" spans="1:6" x14ac:dyDescent="0.25">
      <c r="A6171" t="s">
        <v>10</v>
      </c>
      <c r="B6171" s="5" t="str">
        <f>HYPERLINK("http://www.broadinstitute.org/gsea/msigdb/cards/REACTOME_PRC2_METHYLATES_HISTONES_AND_DNA.html","REACTOME_PRC2_METHYLATES_HISTONES_AND_DNA")</f>
        <v>REACTOME_PRC2_METHYLATES_HISTONES_AND_DNA</v>
      </c>
      <c r="C6171" s="4">
        <v>69</v>
      </c>
      <c r="D6171" s="3">
        <v>-1.4180216999999999</v>
      </c>
      <c r="E6171" s="1">
        <v>3.9513676999999997E-2</v>
      </c>
      <c r="F6171" s="2">
        <v>0.2173311</v>
      </c>
    </row>
    <row r="6172" spans="1:6" x14ac:dyDescent="0.25">
      <c r="A6172" t="s">
        <v>6</v>
      </c>
      <c r="B6172" s="5" t="str">
        <f>HYPERLINK("http://www.broadinstitute.org/gsea/msigdb/cards/GOBP_DOUBLE_STRAND_BREAK_REPAIR_VIA_NONHOMOLOGOUS_END_JOINING.html","GOBP_DOUBLE_STRAND_BREAK_REPAIR_VIA_NONHOMOLOGOUS_END_JOINING")</f>
        <v>GOBP_DOUBLE_STRAND_BREAK_REPAIR_VIA_NONHOMOLOGOUS_END_JOINING</v>
      </c>
      <c r="C6172" s="4">
        <v>63</v>
      </c>
      <c r="D6172" s="3">
        <v>-1.4183072000000001</v>
      </c>
      <c r="E6172" s="1">
        <v>3.0812325000000002E-2</v>
      </c>
      <c r="F6172" s="2">
        <v>0.21733794000000001</v>
      </c>
    </row>
    <row r="6173" spans="1:6" x14ac:dyDescent="0.25">
      <c r="A6173" t="s">
        <v>7</v>
      </c>
      <c r="B6173" s="5" t="str">
        <f>HYPERLINK("http://www.broadinstitute.org/gsea/msigdb/cards/GOCC_PRC1_COMPLEX.html","GOCC_PRC1_COMPLEX")</f>
        <v>GOCC_PRC1_COMPLEX</v>
      </c>
      <c r="C6173" s="4">
        <v>16</v>
      </c>
      <c r="D6173" s="3">
        <v>-1.4192373</v>
      </c>
      <c r="E6173" s="1">
        <v>7.7108435000000003E-2</v>
      </c>
      <c r="F6173" s="2">
        <v>0.21648455999999999</v>
      </c>
    </row>
    <row r="6174" spans="1:6" x14ac:dyDescent="0.25">
      <c r="A6174" t="s">
        <v>6</v>
      </c>
      <c r="B6174" s="5" t="str">
        <f>HYPERLINK("http://www.broadinstitute.org/gsea/msigdb/cards/GOBP_ENERGY_RESERVE_METABOLIC_PROCESS.html","GOBP_ENERGY_RESERVE_METABOLIC_PROCESS")</f>
        <v>GOBP_ENERGY_RESERVE_METABOLIC_PROCESS</v>
      </c>
      <c r="C6174" s="4">
        <v>88</v>
      </c>
      <c r="D6174" s="3">
        <v>-1.4211676</v>
      </c>
      <c r="E6174" s="1">
        <v>1.8716577000000002E-2</v>
      </c>
      <c r="F6174" s="2">
        <v>0.21434209000000001</v>
      </c>
    </row>
    <row r="6175" spans="1:6" x14ac:dyDescent="0.25">
      <c r="A6175" t="s">
        <v>8</v>
      </c>
      <c r="B6175" s="5" t="str">
        <f>HYPERLINK("http://www.broadinstitute.org/gsea/msigdb/cards/GOMF_PHOSPHATASE_REGULATOR_ACTIVITY.html","GOMF_PHOSPHATASE_REGULATOR_ACTIVITY")</f>
        <v>GOMF_PHOSPHATASE_REGULATOR_ACTIVITY</v>
      </c>
      <c r="C6175" s="4">
        <v>92</v>
      </c>
      <c r="D6175" s="3">
        <v>-1.4212294999999999</v>
      </c>
      <c r="E6175" s="1">
        <v>1.369863E-2</v>
      </c>
      <c r="F6175" s="2">
        <v>0.21474503</v>
      </c>
    </row>
    <row r="6176" spans="1:6" x14ac:dyDescent="0.25">
      <c r="A6176" t="s">
        <v>6</v>
      </c>
      <c r="B6176" s="5" t="str">
        <f>HYPERLINK("http://www.broadinstitute.org/gsea/msigdb/cards/GOBP_SPINAL_CORD_MOTOR_NEURON_DIFFERENTIATION.html","GOBP_SPINAL_CORD_MOTOR_NEURON_DIFFERENTIATION")</f>
        <v>GOBP_SPINAL_CORD_MOTOR_NEURON_DIFFERENTIATION</v>
      </c>
      <c r="C6176" s="4">
        <v>33</v>
      </c>
      <c r="D6176" s="3">
        <v>-1.4219664000000001</v>
      </c>
      <c r="E6176" s="1">
        <v>3.5532995999999997E-2</v>
      </c>
      <c r="F6176" s="2">
        <v>0.21415666999999999</v>
      </c>
    </row>
    <row r="6177" spans="1:6" x14ac:dyDescent="0.25">
      <c r="A6177" t="s">
        <v>6</v>
      </c>
      <c r="B6177" s="5" t="str">
        <f>HYPERLINK("http://www.broadinstitute.org/gsea/msigdb/cards/GOBP_HOMOLOGOUS_CHROMOSOME_PAIRING_AT_MEIOSIS.html","GOBP_HOMOLOGOUS_CHROMOSOME_PAIRING_AT_MEIOSIS")</f>
        <v>GOBP_HOMOLOGOUS_CHROMOSOME_PAIRING_AT_MEIOSIS</v>
      </c>
      <c r="C6177" s="4">
        <v>55</v>
      </c>
      <c r="D6177" s="3">
        <v>-1.4220098000000001</v>
      </c>
      <c r="E6177" s="1">
        <v>4.5801528000000001E-2</v>
      </c>
      <c r="F6177" s="2">
        <v>0.21457972</v>
      </c>
    </row>
    <row r="6178" spans="1:6" x14ac:dyDescent="0.25">
      <c r="A6178" t="s">
        <v>8</v>
      </c>
      <c r="B6178" s="5" t="str">
        <f>HYPERLINK("http://www.broadinstitute.org/gsea/msigdb/cards/GOMF_MEMBRANE_INSERTASE_ACTIVITY.html","GOMF_MEMBRANE_INSERTASE_ACTIVITY")</f>
        <v>GOMF_MEMBRANE_INSERTASE_ACTIVITY</v>
      </c>
      <c r="C6178" s="4">
        <v>17</v>
      </c>
      <c r="D6178" s="3">
        <v>-1.4220402999999999</v>
      </c>
      <c r="E6178" s="1">
        <v>8.9108913999999997E-2</v>
      </c>
      <c r="F6178" s="2">
        <v>0.21502784</v>
      </c>
    </row>
    <row r="6179" spans="1:6" x14ac:dyDescent="0.25">
      <c r="A6179" t="s">
        <v>6</v>
      </c>
      <c r="B6179" s="5" t="str">
        <f>HYPERLINK("http://www.broadinstitute.org/gsea/msigdb/cards/GOBP_NEGATIVE_REGULATION_OF_CYTOSOLIC_CALCIUM_ION_CONCENTRATION.html","GOBP_NEGATIVE_REGULATION_OF_CYTOSOLIC_CALCIUM_ION_CONCENTRATION")</f>
        <v>GOBP_NEGATIVE_REGULATION_OF_CYTOSOLIC_CALCIUM_ION_CONCENTRATION</v>
      </c>
      <c r="C6179" s="4">
        <v>23</v>
      </c>
      <c r="D6179" s="3">
        <v>-1.4220953000000001</v>
      </c>
      <c r="E6179" s="1">
        <v>6.8796070000000001E-2</v>
      </c>
      <c r="F6179" s="2">
        <v>0.21544714000000001</v>
      </c>
    </row>
    <row r="6180" spans="1:6" x14ac:dyDescent="0.25">
      <c r="A6180" t="s">
        <v>7</v>
      </c>
      <c r="B6180" s="5" t="str">
        <f>HYPERLINK("http://www.broadinstitute.org/gsea/msigdb/cards/GOCC_CALYX_OF_HELD.html","GOCC_CALYX_OF_HELD")</f>
        <v>GOCC_CALYX_OF_HELD</v>
      </c>
      <c r="C6180" s="4">
        <v>32</v>
      </c>
      <c r="D6180" s="3">
        <v>-1.4225099000000001</v>
      </c>
      <c r="E6180" s="1">
        <v>6.4516130000000005E-2</v>
      </c>
      <c r="F6180" s="2">
        <v>0.21535267</v>
      </c>
    </row>
    <row r="6181" spans="1:6" x14ac:dyDescent="0.25">
      <c r="A6181" t="s">
        <v>6</v>
      </c>
      <c r="B6181" s="5" t="str">
        <f>HYPERLINK("http://www.broadinstitute.org/gsea/msigdb/cards/GOBP_DOUBLE_STRAND_BREAK_REPAIR.html","GOBP_DOUBLE_STRAND_BREAK_REPAIR")</f>
        <v>GOBP_DOUBLE_STRAND_BREAK_REPAIR</v>
      </c>
      <c r="C6181" s="4">
        <v>293</v>
      </c>
      <c r="D6181" s="3">
        <v>-1.4226285000000001</v>
      </c>
      <c r="E6181" s="1">
        <v>0</v>
      </c>
      <c r="F6181" s="2">
        <v>0.21568717000000001</v>
      </c>
    </row>
    <row r="6182" spans="1:6" x14ac:dyDescent="0.25">
      <c r="A6182" t="s">
        <v>6</v>
      </c>
      <c r="B6182" s="5" t="str">
        <f>HYPERLINK("http://www.broadinstitute.org/gsea/msigdb/cards/GOBP_RIBOSOME_BIOGENESIS.html","GOBP_RIBOSOME_BIOGENESIS")</f>
        <v>GOBP_RIBOSOME_BIOGENESIS</v>
      </c>
      <c r="C6182" s="4">
        <v>309</v>
      </c>
      <c r="D6182" s="3">
        <v>-1.4230322</v>
      </c>
      <c r="E6182" s="1">
        <v>3.9525693000000001E-3</v>
      </c>
      <c r="F6182" s="2">
        <v>0.21562023</v>
      </c>
    </row>
    <row r="6183" spans="1:6" x14ac:dyDescent="0.25">
      <c r="A6183" t="s">
        <v>8</v>
      </c>
      <c r="B6183" s="5" t="str">
        <f>HYPERLINK("http://www.broadinstitute.org/gsea/msigdb/cards/GOMF_GLUTATHIONE_TRANSFERASE_ACTIVITY.html","GOMF_GLUTATHIONE_TRANSFERASE_ACTIVITY")</f>
        <v>GOMF_GLUTATHIONE_TRANSFERASE_ACTIVITY</v>
      </c>
      <c r="C6183" s="4">
        <v>31</v>
      </c>
      <c r="D6183" s="3">
        <v>-1.4243113999999999</v>
      </c>
      <c r="E6183" s="1">
        <v>6.0240965E-2</v>
      </c>
      <c r="F6183" s="2">
        <v>0.21435128000000001</v>
      </c>
    </row>
    <row r="6184" spans="1:6" x14ac:dyDescent="0.25">
      <c r="A6184" t="s">
        <v>7</v>
      </c>
      <c r="B6184" s="5" t="str">
        <f>HYPERLINK("http://www.broadinstitute.org/gsea/msigdb/cards/GOCC_TRANSCRIPTION_REPRESSOR_COMPLEX.html","GOCC_TRANSCRIPTION_REPRESSOR_COMPLEX")</f>
        <v>GOCC_TRANSCRIPTION_REPRESSOR_COMPLEX</v>
      </c>
      <c r="C6184" s="4">
        <v>77</v>
      </c>
      <c r="D6184" s="3">
        <v>-1.424447</v>
      </c>
      <c r="E6184" s="1">
        <v>2.1164019999999999E-2</v>
      </c>
      <c r="F6184" s="2">
        <v>0.21461168</v>
      </c>
    </row>
    <row r="6185" spans="1:6" x14ac:dyDescent="0.25">
      <c r="A6185" t="s">
        <v>6</v>
      </c>
      <c r="B6185" s="5" t="str">
        <f>HYPERLINK("http://www.broadinstitute.org/gsea/msigdb/cards/GOBP_NEGATIVE_REGULATION_OF_MUSCLE_CELL_DIFFERENTIATION.html","GOBP_NEGATIVE_REGULATION_OF_MUSCLE_CELL_DIFFERENTIATION")</f>
        <v>GOBP_NEGATIVE_REGULATION_OF_MUSCLE_CELL_DIFFERENTIATION</v>
      </c>
      <c r="C6185" s="4">
        <v>68</v>
      </c>
      <c r="D6185" s="3">
        <v>-1.4245231</v>
      </c>
      <c r="E6185" s="1">
        <v>2.4258760000000001E-2</v>
      </c>
      <c r="F6185" s="2">
        <v>0.21501228</v>
      </c>
    </row>
    <row r="6186" spans="1:6" x14ac:dyDescent="0.25">
      <c r="A6186" t="s">
        <v>8</v>
      </c>
      <c r="B6186" s="5" t="str">
        <f>HYPERLINK("http://www.broadinstitute.org/gsea/msigdb/cards/GOMF_PROTEIN_SERINE_THREONINE_TYROSINE_KINASE_ACTIVITY.html","GOMF_PROTEIN_SERINE_THREONINE_TYROSINE_KINASE_ACTIVITY")</f>
        <v>GOMF_PROTEIN_SERINE_THREONINE_TYROSINE_KINASE_ACTIVITY</v>
      </c>
      <c r="C6186" s="4">
        <v>41</v>
      </c>
      <c r="D6186" s="3">
        <v>-1.4257519000000001</v>
      </c>
      <c r="E6186" s="1">
        <v>5.4263565999999999E-2</v>
      </c>
      <c r="F6186" s="2">
        <v>0.21374162999999999</v>
      </c>
    </row>
    <row r="6187" spans="1:6" x14ac:dyDescent="0.25">
      <c r="A6187" t="s">
        <v>8</v>
      </c>
      <c r="B6187" s="5" t="str">
        <f>HYPERLINK("http://www.broadinstitute.org/gsea/msigdb/cards/GOMF_BASIC_AMINO_ACID_TRANSMEMBRANE_TRANSPORTER_ACTIVITY.html","GOMF_BASIC_AMINO_ACID_TRANSMEMBRANE_TRANSPORTER_ACTIVITY")</f>
        <v>GOMF_BASIC_AMINO_ACID_TRANSMEMBRANE_TRANSPORTER_ACTIVITY</v>
      </c>
      <c r="C6187" s="4">
        <v>18</v>
      </c>
      <c r="D6187" s="3">
        <v>-1.4265325</v>
      </c>
      <c r="E6187" s="1">
        <v>6.521739E-2</v>
      </c>
      <c r="F6187" s="2">
        <v>0.21317536000000001</v>
      </c>
    </row>
    <row r="6188" spans="1:6" x14ac:dyDescent="0.25">
      <c r="A6188" t="s">
        <v>6</v>
      </c>
      <c r="B6188" s="5" t="str">
        <f>HYPERLINK("http://www.broadinstitute.org/gsea/msigdb/cards/GOBP_TRNA_THREONYLCARBAMOYLADENOSINE_METABOLIC_PROCESS.html","GOBP_TRNA_THREONYLCARBAMOYLADENOSINE_METABOLIC_PROCESS")</f>
        <v>GOBP_TRNA_THREONYLCARBAMOYLADENOSINE_METABOLIC_PROCESS</v>
      </c>
      <c r="C6188" s="4">
        <v>16</v>
      </c>
      <c r="D6188" s="3">
        <v>-1.4276153</v>
      </c>
      <c r="E6188" s="1">
        <v>6.4133019999999999E-2</v>
      </c>
      <c r="F6188" s="2">
        <v>0.21223049999999999</v>
      </c>
    </row>
    <row r="6189" spans="1:6" x14ac:dyDescent="0.25">
      <c r="A6189" t="s">
        <v>10</v>
      </c>
      <c r="B6189" s="5" t="str">
        <f>HYPERLINK("http://www.broadinstitute.org/gsea/msigdb/cards/REACTOME_CYCLIN_A_CDK2_ASSOCIATED_EVENTS_AT_S_PHASE_ENTRY.html","REACTOME_CYCLIN_A_CDK2_ASSOCIATED_EVENTS_AT_S_PHASE_ENTRY")</f>
        <v>REACTOME_CYCLIN_A_CDK2_ASSOCIATED_EVENTS_AT_S_PHASE_ENTRY</v>
      </c>
      <c r="C6189" s="4">
        <v>71</v>
      </c>
      <c r="D6189" s="3">
        <v>-1.4281980000000001</v>
      </c>
      <c r="E6189" s="1">
        <v>1.7241380000000001E-2</v>
      </c>
      <c r="F6189" s="2">
        <v>0.21195175999999999</v>
      </c>
    </row>
    <row r="6190" spans="1:6" x14ac:dyDescent="0.25">
      <c r="A6190" t="s">
        <v>6</v>
      </c>
      <c r="B6190" s="5" t="str">
        <f>HYPERLINK("http://www.broadinstitute.org/gsea/msigdb/cards/GOBP_DNA_DAMAGE_RESPONSE_SIGNAL_TRANSDUCTION_RESULTING_IN_TRANSCRIPTION.html","GOBP_DNA_DAMAGE_RESPONSE_SIGNAL_TRANSDUCTION_RESULTING_IN_TRANSCRIPTION")</f>
        <v>GOBP_DNA_DAMAGE_RESPONSE_SIGNAL_TRANSDUCTION_RESULTING_IN_TRANSCRIPTION</v>
      </c>
      <c r="C6190" s="4">
        <v>20</v>
      </c>
      <c r="D6190" s="3">
        <v>-1.4284596000000001</v>
      </c>
      <c r="E6190" s="1">
        <v>4.6082949999999998E-2</v>
      </c>
      <c r="F6190" s="2">
        <v>0.21210103999999999</v>
      </c>
    </row>
    <row r="6191" spans="1:6" x14ac:dyDescent="0.25">
      <c r="A6191" t="s">
        <v>8</v>
      </c>
      <c r="B6191" s="5" t="str">
        <f>HYPERLINK("http://www.broadinstitute.org/gsea/msigdb/cards/GOMF_MAP_KINASE_KINASE_ACTIVITY.html","GOMF_MAP_KINASE_KINASE_ACTIVITY")</f>
        <v>GOMF_MAP_KINASE_KINASE_ACTIVITY</v>
      </c>
      <c r="C6191" s="4">
        <v>15</v>
      </c>
      <c r="D6191" s="3">
        <v>-1.4293963999999999</v>
      </c>
      <c r="E6191" s="1">
        <v>7.6190480000000005E-2</v>
      </c>
      <c r="F6191" s="2">
        <v>0.21126155999999999</v>
      </c>
    </row>
    <row r="6192" spans="1:6" x14ac:dyDescent="0.25">
      <c r="A6192" t="s">
        <v>10</v>
      </c>
      <c r="B6192" s="5" t="str">
        <f>HYPERLINK("http://www.broadinstitute.org/gsea/msigdb/cards/REACTOME_PYRUVATE_METABOLISM.html","REACTOME_PYRUVATE_METABOLISM")</f>
        <v>REACTOME_PYRUVATE_METABOLISM</v>
      </c>
      <c r="C6192" s="4">
        <v>22</v>
      </c>
      <c r="D6192" s="3">
        <v>-1.4309261</v>
      </c>
      <c r="E6192" s="1">
        <v>5.8962263000000001E-2</v>
      </c>
      <c r="F6192" s="2">
        <v>0.20950394999999999</v>
      </c>
    </row>
    <row r="6193" spans="1:6" x14ac:dyDescent="0.25">
      <c r="A6193" t="s">
        <v>7</v>
      </c>
      <c r="B6193" s="5" t="str">
        <f>HYPERLINK("http://www.broadinstitute.org/gsea/msigdb/cards/GOCC_ACETYLTRANSFERASE_COMPLEX.html","GOCC_ACETYLTRANSFERASE_COMPLEX")</f>
        <v>GOCC_ACETYLTRANSFERASE_COMPLEX</v>
      </c>
      <c r="C6193" s="4">
        <v>101</v>
      </c>
      <c r="D6193" s="3">
        <v>-1.4318217</v>
      </c>
      <c r="E6193" s="1">
        <v>9.2024540000000005E-3</v>
      </c>
      <c r="F6193" s="2">
        <v>0.20873040000000001</v>
      </c>
    </row>
    <row r="6194" spans="1:6" x14ac:dyDescent="0.25">
      <c r="A6194" t="s">
        <v>6</v>
      </c>
      <c r="B6194" s="5" t="str">
        <f>HYPERLINK("http://www.broadinstitute.org/gsea/msigdb/cards/GOBP_EMBRYONIC_APPENDAGE_MORPHOGENESIS.html","GOBP_EMBRYONIC_APPENDAGE_MORPHOGENESIS")</f>
        <v>GOBP_EMBRYONIC_APPENDAGE_MORPHOGENESIS</v>
      </c>
      <c r="C6194" s="4">
        <v>144</v>
      </c>
      <c r="D6194" s="3">
        <v>-1.432078</v>
      </c>
      <c r="E6194" s="1">
        <v>5.9347180000000003E-3</v>
      </c>
      <c r="F6194" s="2">
        <v>0.2088439</v>
      </c>
    </row>
    <row r="6195" spans="1:6" x14ac:dyDescent="0.25">
      <c r="A6195" t="s">
        <v>8</v>
      </c>
      <c r="B6195" s="5" t="str">
        <f>HYPERLINK("http://www.broadinstitute.org/gsea/msigdb/cards/GOMF_VOLTAGE_GATED_MONOATOMIC_ANION_CHANNEL_ACTIVITY.html","GOMF_VOLTAGE_GATED_MONOATOMIC_ANION_CHANNEL_ACTIVITY")</f>
        <v>GOMF_VOLTAGE_GATED_MONOATOMIC_ANION_CHANNEL_ACTIVITY</v>
      </c>
      <c r="C6195" s="4">
        <v>16</v>
      </c>
      <c r="D6195" s="3">
        <v>-1.4331318</v>
      </c>
      <c r="E6195" s="1">
        <v>7.7097504999999997E-2</v>
      </c>
      <c r="F6195" s="2">
        <v>0.20793739</v>
      </c>
    </row>
    <row r="6196" spans="1:6" x14ac:dyDescent="0.25">
      <c r="A6196" t="s">
        <v>6</v>
      </c>
      <c r="B6196" s="5" t="str">
        <f>HYPERLINK("http://www.broadinstitute.org/gsea/msigdb/cards/GOBP_EPIGENETIC_REGULATION_OF_GENE_EXPRESSION.html","GOBP_EPIGENETIC_REGULATION_OF_GENE_EXPRESSION")</f>
        <v>GOBP_EPIGENETIC_REGULATION_OF_GENE_EXPRESSION</v>
      </c>
      <c r="C6196" s="4">
        <v>206</v>
      </c>
      <c r="D6196" s="3">
        <v>-1.4346380000000001</v>
      </c>
      <c r="E6196" s="1">
        <v>0</v>
      </c>
      <c r="F6196" s="2">
        <v>0.20634744999999999</v>
      </c>
    </row>
    <row r="6197" spans="1:6" x14ac:dyDescent="0.25">
      <c r="A6197" t="s">
        <v>6</v>
      </c>
      <c r="B6197" s="5" t="str">
        <f>HYPERLINK("http://www.broadinstitute.org/gsea/msigdb/cards/GOBP_TRANSCRIPTION_BY_RNA_POLYMERASE_I.html","GOBP_TRANSCRIPTION_BY_RNA_POLYMERASE_I")</f>
        <v>GOBP_TRANSCRIPTION_BY_RNA_POLYMERASE_I</v>
      </c>
      <c r="C6197" s="4">
        <v>65</v>
      </c>
      <c r="D6197" s="3">
        <v>-1.4349065999999999</v>
      </c>
      <c r="E6197" s="1">
        <v>1.3661202000000001E-2</v>
      </c>
      <c r="F6197" s="2">
        <v>0.20646010000000001</v>
      </c>
    </row>
    <row r="6198" spans="1:6" x14ac:dyDescent="0.25">
      <c r="A6198" t="s">
        <v>10</v>
      </c>
      <c r="B6198" s="5" t="str">
        <f>HYPERLINK("http://www.broadinstitute.org/gsea/msigdb/cards/REACTOME_TRANSPORT_OF_MATURE_TRANSCRIPT_TO_CYTOPLASM.html","REACTOME_TRANSPORT_OF_MATURE_TRANSCRIPT_TO_CYTOPLASM")</f>
        <v>REACTOME_TRANSPORT_OF_MATURE_TRANSCRIPT_TO_CYTOPLASM</v>
      </c>
      <c r="C6198" s="4">
        <v>78</v>
      </c>
      <c r="D6198" s="3">
        <v>-1.4359883</v>
      </c>
      <c r="E6198" s="1">
        <v>2.1680217000000002E-2</v>
      </c>
      <c r="F6198" s="2">
        <v>0.20545206999999999</v>
      </c>
    </row>
    <row r="6199" spans="1:6" x14ac:dyDescent="0.25">
      <c r="A6199" t="s">
        <v>10</v>
      </c>
      <c r="B6199" s="5" t="str">
        <f>HYPERLINK("http://www.broadinstitute.org/gsea/msigdb/cards/REACTOME_G2_M_CHECKPOINTS.html","REACTOME_G2_M_CHECKPOINTS")</f>
        <v>REACTOME_G2_M_CHECKPOINTS</v>
      </c>
      <c r="C6199" s="4">
        <v>158</v>
      </c>
      <c r="D6199" s="3">
        <v>-1.4364243999999999</v>
      </c>
      <c r="E6199" s="1">
        <v>6.6006603E-3</v>
      </c>
      <c r="F6199" s="2">
        <v>0.20540474</v>
      </c>
    </row>
    <row r="6200" spans="1:6" x14ac:dyDescent="0.25">
      <c r="A6200" t="s">
        <v>6</v>
      </c>
      <c r="B6200" s="5" t="str">
        <f>HYPERLINK("http://www.broadinstitute.org/gsea/msigdb/cards/GOBP_TELENCEPHALON_REGIONALIZATION.html","GOBP_TELENCEPHALON_REGIONALIZATION")</f>
        <v>GOBP_TELENCEPHALON_REGIONALIZATION</v>
      </c>
      <c r="C6200" s="4">
        <v>16</v>
      </c>
      <c r="D6200" s="3">
        <v>-1.4364349000000001</v>
      </c>
      <c r="E6200" s="1">
        <v>7.2538859999999997E-2</v>
      </c>
      <c r="F6200" s="2">
        <v>0.20586893000000001</v>
      </c>
    </row>
    <row r="6201" spans="1:6" x14ac:dyDescent="0.25">
      <c r="A6201" t="s">
        <v>10</v>
      </c>
      <c r="B6201" s="5" t="str">
        <f>HYPERLINK("http://www.broadinstitute.org/gsea/msigdb/cards/REACTOME_REGULATION_OF_PTEN_STABILITY_AND_ACTIVITY.html","REACTOME_REGULATION_OF_PTEN_STABILITY_AND_ACTIVITY")</f>
        <v>REACTOME_REGULATION_OF_PTEN_STABILITY_AND_ACTIVITY</v>
      </c>
      <c r="C6201" s="4">
        <v>68</v>
      </c>
      <c r="D6201" s="3">
        <v>-1.4388593000000001</v>
      </c>
      <c r="E6201" s="1">
        <v>1.8617020000000001E-2</v>
      </c>
      <c r="F6201" s="2">
        <v>0.20312774</v>
      </c>
    </row>
    <row r="6202" spans="1:6" x14ac:dyDescent="0.25">
      <c r="A6202" t="s">
        <v>7</v>
      </c>
      <c r="B6202" s="5" t="str">
        <f>HYPERLINK("http://www.broadinstitute.org/gsea/msigdb/cards/GOCC_INHIBITORY_SYNAPSE.html","GOCC_INHIBITORY_SYNAPSE")</f>
        <v>GOCC_INHIBITORY_SYNAPSE</v>
      </c>
      <c r="C6202" s="4">
        <v>29</v>
      </c>
      <c r="D6202" s="3">
        <v>-1.4388859000000001</v>
      </c>
      <c r="E6202" s="1">
        <v>6.5268060000000003E-2</v>
      </c>
      <c r="F6202" s="2">
        <v>0.20357236000000001</v>
      </c>
    </row>
    <row r="6203" spans="1:6" x14ac:dyDescent="0.25">
      <c r="A6203" t="s">
        <v>7</v>
      </c>
      <c r="B6203" s="5" t="str">
        <f>HYPERLINK("http://www.broadinstitute.org/gsea/msigdb/cards/GOCC_PROTEIN_FOLDING_CHAPERONE_COMPLEX.html","GOCC_PROTEIN_FOLDING_CHAPERONE_COMPLEX")</f>
        <v>GOCC_PROTEIN_FOLDING_CHAPERONE_COMPLEX</v>
      </c>
      <c r="C6203" s="4">
        <v>35</v>
      </c>
      <c r="D6203" s="3">
        <v>-1.4389479000000001</v>
      </c>
      <c r="E6203" s="1">
        <v>4.9382716E-2</v>
      </c>
      <c r="F6203" s="2">
        <v>0.20398216</v>
      </c>
    </row>
    <row r="6204" spans="1:6" x14ac:dyDescent="0.25">
      <c r="A6204" t="s">
        <v>6</v>
      </c>
      <c r="B6204" s="5" t="str">
        <f>HYPERLINK("http://www.broadinstitute.org/gsea/msigdb/cards/GOBP_SARCOPLASMIC_RETICULUM_CALCIUM_ION_TRANSPORT.html","GOBP_SARCOPLASMIC_RETICULUM_CALCIUM_ION_TRANSPORT")</f>
        <v>GOBP_SARCOPLASMIC_RETICULUM_CALCIUM_ION_TRANSPORT</v>
      </c>
      <c r="C6204" s="4">
        <v>33</v>
      </c>
      <c r="D6204" s="3">
        <v>-1.4390160999999999</v>
      </c>
      <c r="E6204" s="1">
        <v>3.6945812000000001E-2</v>
      </c>
      <c r="F6204" s="2">
        <v>0.20438356999999999</v>
      </c>
    </row>
    <row r="6205" spans="1:6" x14ac:dyDescent="0.25">
      <c r="A6205" t="s">
        <v>6</v>
      </c>
      <c r="B6205" s="5" t="str">
        <f>HYPERLINK("http://www.broadinstitute.org/gsea/msigdb/cards/GOBP_CRANIOFACIAL_SUTURE_MORPHOGENESIS.html","GOBP_CRANIOFACIAL_SUTURE_MORPHOGENESIS")</f>
        <v>GOBP_CRANIOFACIAL_SUTURE_MORPHOGENESIS</v>
      </c>
      <c r="C6205" s="4">
        <v>17</v>
      </c>
      <c r="D6205" s="3">
        <v>-1.4390763</v>
      </c>
      <c r="E6205" s="1">
        <v>6.5693429999999997E-2</v>
      </c>
      <c r="F6205" s="2">
        <v>0.20479727</v>
      </c>
    </row>
    <row r="6206" spans="1:6" x14ac:dyDescent="0.25">
      <c r="A6206" t="s">
        <v>6</v>
      </c>
      <c r="B6206" s="5" t="str">
        <f>HYPERLINK("http://www.broadinstitute.org/gsea/msigdb/cards/GOBP_SNO_S_RNA_METABOLIC_PROCESS.html","GOBP_SNO_S_RNA_METABOLIC_PROCESS")</f>
        <v>GOBP_SNO_S_RNA_METABOLIC_PROCESS</v>
      </c>
      <c r="C6206" s="4">
        <v>16</v>
      </c>
      <c r="D6206" s="3">
        <v>-1.4397732000000001</v>
      </c>
      <c r="E6206" s="1">
        <v>7.2093025000000005E-2</v>
      </c>
      <c r="F6206" s="2">
        <v>0.20439681000000001</v>
      </c>
    </row>
    <row r="6207" spans="1:6" x14ac:dyDescent="0.25">
      <c r="A6207" t="s">
        <v>8</v>
      </c>
      <c r="B6207" s="5" t="str">
        <f>HYPERLINK("http://www.broadinstitute.org/gsea/msigdb/cards/GOMF_N_METHYLTRANSFERASE_ACTIVITY.html","GOMF_N_METHYLTRANSFERASE_ACTIVITY")</f>
        <v>GOMF_N_METHYLTRANSFERASE_ACTIVITY</v>
      </c>
      <c r="C6207" s="4">
        <v>90</v>
      </c>
      <c r="D6207" s="3">
        <v>-1.4421736000000001</v>
      </c>
      <c r="E6207" s="1">
        <v>1.6085789999999999E-2</v>
      </c>
      <c r="F6207" s="2">
        <v>0.20166218</v>
      </c>
    </row>
    <row r="6208" spans="1:6" x14ac:dyDescent="0.25">
      <c r="A6208" t="s">
        <v>6</v>
      </c>
      <c r="B6208" s="5" t="str">
        <f>HYPERLINK("http://www.broadinstitute.org/gsea/msigdb/cards/GOBP_ESTABLISHMENT_OF_MITOCHONDRION_LOCALIZATION_MICROTUBULE_MEDIATED.html","GOBP_ESTABLISHMENT_OF_MITOCHONDRION_LOCALIZATION_MICROTUBULE_MEDIATED")</f>
        <v>GOBP_ESTABLISHMENT_OF_MITOCHONDRION_LOCALIZATION_MICROTUBULE_MEDIATED</v>
      </c>
      <c r="C6208" s="4">
        <v>25</v>
      </c>
      <c r="D6208" s="3">
        <v>-1.4426038000000001</v>
      </c>
      <c r="E6208" s="1">
        <v>5.2272725999999999E-2</v>
      </c>
      <c r="F6208" s="2">
        <v>0.20158680000000001</v>
      </c>
    </row>
    <row r="6209" spans="1:6" x14ac:dyDescent="0.25">
      <c r="A6209" t="s">
        <v>6</v>
      </c>
      <c r="B6209" s="5" t="str">
        <f>HYPERLINK("http://www.broadinstitute.org/gsea/msigdb/cards/GOBP_GENITALIA_MORPHOGENESIS.html","GOBP_GENITALIA_MORPHOGENESIS")</f>
        <v>GOBP_GENITALIA_MORPHOGENESIS</v>
      </c>
      <c r="C6209" s="4">
        <v>17</v>
      </c>
      <c r="D6209" s="3">
        <v>-1.4438028000000001</v>
      </c>
      <c r="E6209" s="1">
        <v>5.7831325000000003E-2</v>
      </c>
      <c r="F6209" s="2">
        <v>0.20052011</v>
      </c>
    </row>
    <row r="6210" spans="1:6" x14ac:dyDescent="0.25">
      <c r="A6210" t="s">
        <v>10</v>
      </c>
      <c r="B6210" s="5" t="str">
        <f>HYPERLINK("http://www.broadinstitute.org/gsea/msigdb/cards/REACTOME_GLYOXYLATE_METABOLISM_AND_GLYCINE_DEGRADATION.html","REACTOME_GLYOXYLATE_METABOLISM_AND_GLYCINE_DEGRADATION")</f>
        <v>REACTOME_GLYOXYLATE_METABOLISM_AND_GLYCINE_DEGRADATION</v>
      </c>
      <c r="C6210" s="4">
        <v>29</v>
      </c>
      <c r="D6210" s="3">
        <v>-1.4445794000000001</v>
      </c>
      <c r="E6210" s="1">
        <v>5.1094889999999997E-2</v>
      </c>
      <c r="F6210" s="2">
        <v>0.19997554000000001</v>
      </c>
    </row>
    <row r="6211" spans="1:6" x14ac:dyDescent="0.25">
      <c r="A6211" t="s">
        <v>10</v>
      </c>
      <c r="B6211" s="5" t="str">
        <f>HYPERLINK("http://www.broadinstitute.org/gsea/msigdb/cards/REACTOME_RNA_POLYMERASE_III_TRANSCRIPTION_INITIATION_FROM_TYPE_1_PROMOTER.html","REACTOME_RNA_POLYMERASE_III_TRANSCRIPTION_INITIATION_FROM_TYPE_1_PROMOTER")</f>
        <v>REACTOME_RNA_POLYMERASE_III_TRANSCRIPTION_INITIATION_FROM_TYPE_1_PROMOTER</v>
      </c>
      <c r="C6211" s="4">
        <v>27</v>
      </c>
      <c r="D6211" s="3">
        <v>-1.4455374000000001</v>
      </c>
      <c r="E6211" s="1">
        <v>6.4587969999999995E-2</v>
      </c>
      <c r="F6211" s="2">
        <v>0.19918630000000001</v>
      </c>
    </row>
    <row r="6212" spans="1:6" x14ac:dyDescent="0.25">
      <c r="A6212" t="s">
        <v>6</v>
      </c>
      <c r="B6212" s="5" t="str">
        <f>HYPERLINK("http://www.broadinstitute.org/gsea/msigdb/cards/GOBP_TRANSCRIPTION_INITIATION_COUPLED_CHROMATIN_REMODELING.html","GOBP_TRANSCRIPTION_INITIATION_COUPLED_CHROMATIN_REMODELING")</f>
        <v>GOBP_TRANSCRIPTION_INITIATION_COUPLED_CHROMATIN_REMODELING</v>
      </c>
      <c r="C6212" s="4">
        <v>40</v>
      </c>
      <c r="D6212" s="3">
        <v>-1.4461999000000001</v>
      </c>
      <c r="E6212" s="1">
        <v>2.7707808E-2</v>
      </c>
      <c r="F6212" s="2">
        <v>0.19879997999999999</v>
      </c>
    </row>
    <row r="6213" spans="1:6" x14ac:dyDescent="0.25">
      <c r="A6213" t="s">
        <v>6</v>
      </c>
      <c r="B6213" s="5" t="str">
        <f>HYPERLINK("http://www.broadinstitute.org/gsea/msigdb/cards/GOBP_PHARYNGEAL_SYSTEM_DEVELOPMENT.html","GOBP_PHARYNGEAL_SYSTEM_DEVELOPMENT")</f>
        <v>GOBP_PHARYNGEAL_SYSTEM_DEVELOPMENT</v>
      </c>
      <c r="C6213" s="4">
        <v>30</v>
      </c>
      <c r="D6213" s="3">
        <v>-1.4473948000000001</v>
      </c>
      <c r="E6213" s="1">
        <v>4.1362530000000002E-2</v>
      </c>
      <c r="F6213" s="2">
        <v>0.19768842</v>
      </c>
    </row>
    <row r="6214" spans="1:6" x14ac:dyDescent="0.25">
      <c r="A6214" t="s">
        <v>6</v>
      </c>
      <c r="B6214" s="5" t="str">
        <f>HYPERLINK("http://www.broadinstitute.org/gsea/msigdb/cards/GOBP_SEX_DETERMINATION.html","GOBP_SEX_DETERMINATION")</f>
        <v>GOBP_SEX_DETERMINATION</v>
      </c>
      <c r="C6214" s="4">
        <v>21</v>
      </c>
      <c r="D6214" s="3">
        <v>-1.4484067</v>
      </c>
      <c r="E6214" s="1">
        <v>6.1124694E-2</v>
      </c>
      <c r="F6214" s="2">
        <v>0.1968734</v>
      </c>
    </row>
    <row r="6215" spans="1:6" x14ac:dyDescent="0.25">
      <c r="A6215" t="s">
        <v>7</v>
      </c>
      <c r="B6215" s="5" t="str">
        <f>HYPERLINK("http://www.broadinstitute.org/gsea/msigdb/cards/GOCC_POLYSOME.html","GOCC_POLYSOME")</f>
        <v>GOCC_POLYSOME</v>
      </c>
      <c r="C6215" s="4">
        <v>74</v>
      </c>
      <c r="D6215" s="3">
        <v>-1.4500875</v>
      </c>
      <c r="E6215" s="1">
        <v>3.0898875999999999E-2</v>
      </c>
      <c r="F6215" s="2">
        <v>0.19514677</v>
      </c>
    </row>
    <row r="6216" spans="1:6" x14ac:dyDescent="0.25">
      <c r="A6216" t="s">
        <v>6</v>
      </c>
      <c r="B6216" s="5" t="str">
        <f>HYPERLINK("http://www.broadinstitute.org/gsea/msigdb/cards/GOBP_REGULATION_OF_POSTSYNAPTIC_MEMBRANE_POTENTIAL.html","GOBP_REGULATION_OF_POSTSYNAPTIC_MEMBRANE_POTENTIAL")</f>
        <v>GOBP_REGULATION_OF_POSTSYNAPTIC_MEMBRANE_POTENTIAL</v>
      </c>
      <c r="C6216" s="4">
        <v>129</v>
      </c>
      <c r="D6216" s="3">
        <v>-1.4514343000000001</v>
      </c>
      <c r="E6216" s="1">
        <v>3.0303029999999998E-3</v>
      </c>
      <c r="F6216" s="2">
        <v>0.19396532999999999</v>
      </c>
    </row>
    <row r="6217" spans="1:6" x14ac:dyDescent="0.25">
      <c r="A6217" t="s">
        <v>6</v>
      </c>
      <c r="B6217" s="5" t="str">
        <f>HYPERLINK("http://www.broadinstitute.org/gsea/msigdb/cards/GOBP_REGULATION_OF_MUSCLE_CELL_DIFFERENTIATION.html","GOBP_REGULATION_OF_MUSCLE_CELL_DIFFERENTIATION")</f>
        <v>GOBP_REGULATION_OF_MUSCLE_CELL_DIFFERENTIATION</v>
      </c>
      <c r="C6217" s="4">
        <v>161</v>
      </c>
      <c r="D6217" s="3">
        <v>-1.4518834</v>
      </c>
      <c r="E6217" s="1">
        <v>3.0959751E-3</v>
      </c>
      <c r="F6217" s="2">
        <v>0.19388357000000001</v>
      </c>
    </row>
    <row r="6218" spans="1:6" x14ac:dyDescent="0.25">
      <c r="A6218" t="s">
        <v>5</v>
      </c>
      <c r="B6218" s="5" t="str">
        <f>HYPERLINK("http://www.broadinstitute.org/gsea/msigdb/cards/BIOCARTA_P53_PATHWAY.html","BIOCARTA_P53_PATHWAY")</f>
        <v>BIOCARTA_P53_PATHWAY</v>
      </c>
      <c r="C6218" s="4">
        <v>15</v>
      </c>
      <c r="D6218" s="3">
        <v>-1.4519154999999999</v>
      </c>
      <c r="E6218" s="1">
        <v>5.5172414000000003E-2</v>
      </c>
      <c r="F6218" s="2">
        <v>0.19432526999999999</v>
      </c>
    </row>
    <row r="6219" spans="1:6" x14ac:dyDescent="0.25">
      <c r="A6219" t="s">
        <v>10</v>
      </c>
      <c r="B6219" s="5" t="str">
        <f>HYPERLINK("http://www.broadinstitute.org/gsea/msigdb/cards/REACTOME_CHROMOSOME_MAINTENANCE.html","REACTOME_CHROMOSOME_MAINTENANCE")</f>
        <v>REACTOME_CHROMOSOME_MAINTENANCE</v>
      </c>
      <c r="C6219" s="4">
        <v>119</v>
      </c>
      <c r="D6219" s="3">
        <v>-1.4526824</v>
      </c>
      <c r="E6219" s="1">
        <v>5.8139534999999999E-3</v>
      </c>
      <c r="F6219" s="2">
        <v>0.19383341000000001</v>
      </c>
    </row>
    <row r="6220" spans="1:6" x14ac:dyDescent="0.25">
      <c r="A6220" t="s">
        <v>5</v>
      </c>
      <c r="B6220" s="5" t="str">
        <f>HYPERLINK("http://www.broadinstitute.org/gsea/msigdb/cards/BIOCARTA_SHH_PATHWAY.html","BIOCARTA_SHH_PATHWAY")</f>
        <v>BIOCARTA_SHH_PATHWAY</v>
      </c>
      <c r="C6220" s="4">
        <v>15</v>
      </c>
      <c r="D6220" s="3">
        <v>-1.4527817999999999</v>
      </c>
      <c r="E6220" s="1">
        <v>6.521739E-2</v>
      </c>
      <c r="F6220" s="2">
        <v>0.19418975999999999</v>
      </c>
    </row>
    <row r="6221" spans="1:6" x14ac:dyDescent="0.25">
      <c r="A6221" t="s">
        <v>8</v>
      </c>
      <c r="B6221" s="5" t="str">
        <f>HYPERLINK("http://www.broadinstitute.org/gsea/msigdb/cards/GOMF_TRANSFERASE_ACTIVITY_TRANSFERRING_ALKYL_OR_ARYL_OTHER_THAN_METHYL_GROUPS.html","GOMF_TRANSFERASE_ACTIVITY_TRANSFERRING_ALKYL_OR_ARYL_OTHER_THAN_METHYL_GROUPS")</f>
        <v>GOMF_TRANSFERASE_ACTIVITY_TRANSFERRING_ALKYL_OR_ARYL_OTHER_THAN_METHYL_GROUPS</v>
      </c>
      <c r="C6221" s="4">
        <v>63</v>
      </c>
      <c r="D6221" s="3">
        <v>-1.4531023999999999</v>
      </c>
      <c r="E6221" s="1">
        <v>1.8087855E-2</v>
      </c>
      <c r="F6221" s="2">
        <v>0.19426289999999999</v>
      </c>
    </row>
    <row r="6222" spans="1:6" x14ac:dyDescent="0.25">
      <c r="A6222" t="s">
        <v>6</v>
      </c>
      <c r="B6222" s="5" t="str">
        <f>HYPERLINK("http://www.broadinstitute.org/gsea/msigdb/cards/GOBP_REGULATION_OF_DOUBLE_STRAND_BREAK_REPAIR.html","GOBP_REGULATION_OF_DOUBLE_STRAND_BREAK_REPAIR")</f>
        <v>GOBP_REGULATION_OF_DOUBLE_STRAND_BREAK_REPAIR</v>
      </c>
      <c r="C6222" s="4">
        <v>130</v>
      </c>
      <c r="D6222" s="3">
        <v>-1.4539582</v>
      </c>
      <c r="E6222" s="1">
        <v>1.1904761999999999E-2</v>
      </c>
      <c r="F6222" s="2">
        <v>0.19361465</v>
      </c>
    </row>
    <row r="6223" spans="1:6" x14ac:dyDescent="0.25">
      <c r="A6223" t="s">
        <v>6</v>
      </c>
      <c r="B6223" s="5" t="str">
        <f>HYPERLINK("http://www.broadinstitute.org/gsea/msigdb/cards/GOBP_MUSCLE_SYSTEM_PROCESS.html","GOBP_MUSCLE_SYSTEM_PROCESS")</f>
        <v>GOBP_MUSCLE_SYSTEM_PROCESS</v>
      </c>
      <c r="C6223" s="4">
        <v>436</v>
      </c>
      <c r="D6223" s="3">
        <v>-1.454053</v>
      </c>
      <c r="E6223" s="1">
        <v>0</v>
      </c>
      <c r="F6223" s="2">
        <v>0.19395761</v>
      </c>
    </row>
    <row r="6224" spans="1:6" x14ac:dyDescent="0.25">
      <c r="A6224" t="s">
        <v>6</v>
      </c>
      <c r="B6224" s="5" t="str">
        <f>HYPERLINK("http://www.broadinstitute.org/gsea/msigdb/cards/GOBP_METANEPHROS_MORPHOGENESIS.html","GOBP_METANEPHROS_MORPHOGENESIS")</f>
        <v>GOBP_METANEPHROS_MORPHOGENESIS</v>
      </c>
      <c r="C6224" s="4">
        <v>26</v>
      </c>
      <c r="D6224" s="3">
        <v>-1.4559934999999999</v>
      </c>
      <c r="E6224" s="1">
        <v>4.5351475000000002E-2</v>
      </c>
      <c r="F6224" s="2">
        <v>0.19191189</v>
      </c>
    </row>
    <row r="6225" spans="1:6" x14ac:dyDescent="0.25">
      <c r="A6225" t="s">
        <v>6</v>
      </c>
      <c r="B6225" s="5" t="str">
        <f>HYPERLINK("http://www.broadinstitute.org/gsea/msigdb/cards/GOBP_RIBOSE_PHOSPHATE_METABOLIC_PROCESS.html","GOBP_RIBOSE_PHOSPHATE_METABOLIC_PROCESS")</f>
        <v>GOBP_RIBOSE_PHOSPHATE_METABOLIC_PROCESS</v>
      </c>
      <c r="C6225" s="4">
        <v>344</v>
      </c>
      <c r="D6225" s="3">
        <v>-1.4572252999999999</v>
      </c>
      <c r="E6225" s="1">
        <v>0</v>
      </c>
      <c r="F6225" s="2">
        <v>0.19076214999999999</v>
      </c>
    </row>
    <row r="6226" spans="1:6" x14ac:dyDescent="0.25">
      <c r="A6226" t="s">
        <v>8</v>
      </c>
      <c r="B6226" s="5" t="str">
        <f>HYPERLINK("http://www.broadinstitute.org/gsea/msigdb/cards/GOMF_TRANSCRIPTION_COACTIVATOR_BINDING.html","GOMF_TRANSCRIPTION_COACTIVATOR_BINDING")</f>
        <v>GOMF_TRANSCRIPTION_COACTIVATOR_BINDING</v>
      </c>
      <c r="C6226" s="4">
        <v>54</v>
      </c>
      <c r="D6226" s="3">
        <v>-1.4572395</v>
      </c>
      <c r="E6226" s="1">
        <v>3.305785E-2</v>
      </c>
      <c r="F6226" s="2">
        <v>0.19122191999999999</v>
      </c>
    </row>
    <row r="6227" spans="1:6" x14ac:dyDescent="0.25">
      <c r="A6227" t="s">
        <v>6</v>
      </c>
      <c r="B6227" s="5" t="str">
        <f>HYPERLINK("http://www.broadinstitute.org/gsea/msigdb/cards/GOBP_PROTEIN_IMPORT_INTO_MITOCHONDRIAL_MATRIX.html","GOBP_PROTEIN_IMPORT_INTO_MITOCHONDRIAL_MATRIX")</f>
        <v>GOBP_PROTEIN_IMPORT_INTO_MITOCHONDRIAL_MATRIX</v>
      </c>
      <c r="C6227" s="4">
        <v>18</v>
      </c>
      <c r="D6227" s="3">
        <v>-1.4574765999999999</v>
      </c>
      <c r="E6227" s="1">
        <v>6.2360800000000001E-2</v>
      </c>
      <c r="F6227" s="2">
        <v>0.1914063</v>
      </c>
    </row>
    <row r="6228" spans="1:6" x14ac:dyDescent="0.25">
      <c r="A6228" t="s">
        <v>8</v>
      </c>
      <c r="B6228" s="5" t="str">
        <f>HYPERLINK("http://www.broadinstitute.org/gsea/msigdb/cards/GOMF_RNA_POLYMERASE_BINDING.html","GOMF_RNA_POLYMERASE_BINDING")</f>
        <v>GOMF_RNA_POLYMERASE_BINDING</v>
      </c>
      <c r="C6228" s="4">
        <v>60</v>
      </c>
      <c r="D6228" s="3">
        <v>-1.4578688</v>
      </c>
      <c r="E6228" s="1">
        <v>1.9830028E-2</v>
      </c>
      <c r="F6228" s="2">
        <v>0.19136818</v>
      </c>
    </row>
    <row r="6229" spans="1:6" x14ac:dyDescent="0.25">
      <c r="A6229" t="s">
        <v>10</v>
      </c>
      <c r="B6229" s="5" t="str">
        <f>HYPERLINK("http://www.broadinstitute.org/gsea/msigdb/cards/REACTOME_CROSS_PRESENTATION_OF_SOLUBLE_EXOGENOUS_ANTIGENS_ENDOSOMES.html","REACTOME_CROSS_PRESENTATION_OF_SOLUBLE_EXOGENOUS_ANTIGENS_ENDOSOMES")</f>
        <v>REACTOME_CROSS_PRESENTATION_OF_SOLUBLE_EXOGENOUS_ANTIGENS_ENDOSOMES</v>
      </c>
      <c r="C6229" s="4">
        <v>48</v>
      </c>
      <c r="D6229" s="3">
        <v>-1.4590595</v>
      </c>
      <c r="E6229" s="1">
        <v>2.3136246999999999E-2</v>
      </c>
      <c r="F6229" s="2">
        <v>0.19041938999999999</v>
      </c>
    </row>
    <row r="6230" spans="1:6" x14ac:dyDescent="0.25">
      <c r="A6230" t="s">
        <v>7</v>
      </c>
      <c r="B6230" s="5" t="str">
        <f>HYPERLINK("http://www.broadinstitute.org/gsea/msigdb/cards/GOCC_HIPPOCAMPAL_MOSSY_FIBER_TO_CA3_SYNAPSE.html","GOCC_HIPPOCAMPAL_MOSSY_FIBER_TO_CA3_SYNAPSE")</f>
        <v>GOCC_HIPPOCAMPAL_MOSSY_FIBER_TO_CA3_SYNAPSE</v>
      </c>
      <c r="C6230" s="4">
        <v>59</v>
      </c>
      <c r="D6230" s="3">
        <v>-1.4596427999999999</v>
      </c>
      <c r="E6230" s="1">
        <v>1.0752688E-2</v>
      </c>
      <c r="F6230" s="2">
        <v>0.19016857000000001</v>
      </c>
    </row>
    <row r="6231" spans="1:6" x14ac:dyDescent="0.25">
      <c r="A6231" t="s">
        <v>6</v>
      </c>
      <c r="B6231" s="5" t="str">
        <f>HYPERLINK("http://www.broadinstitute.org/gsea/msigdb/cards/GOBP_RIBOSOMAL_SMALL_SUBUNIT_BIOGENESIS.html","GOBP_RIBOSOMAL_SMALL_SUBUNIT_BIOGENESIS")</f>
        <v>GOBP_RIBOSOMAL_SMALL_SUBUNIT_BIOGENESIS</v>
      </c>
      <c r="C6231" s="4">
        <v>100</v>
      </c>
      <c r="D6231" s="3">
        <v>-1.4603591</v>
      </c>
      <c r="E6231" s="1">
        <v>8.3102490000000005E-3</v>
      </c>
      <c r="F6231" s="2">
        <v>0.18974067</v>
      </c>
    </row>
    <row r="6232" spans="1:6" x14ac:dyDescent="0.25">
      <c r="A6232" t="s">
        <v>7</v>
      </c>
      <c r="B6232" s="5" t="str">
        <f>HYPERLINK("http://www.broadinstitute.org/gsea/msigdb/cards/GOCC_CYTOPLASMIC_STRESS_GRANULE.html","GOCC_CYTOPLASMIC_STRESS_GRANULE")</f>
        <v>GOCC_CYTOPLASMIC_STRESS_GRANULE</v>
      </c>
      <c r="C6232" s="4">
        <v>81</v>
      </c>
      <c r="D6232" s="3">
        <v>-1.4635003</v>
      </c>
      <c r="E6232" s="1">
        <v>1.9662921999999999E-2</v>
      </c>
      <c r="F6232" s="2">
        <v>0.18639088000000001</v>
      </c>
    </row>
    <row r="6233" spans="1:6" x14ac:dyDescent="0.25">
      <c r="A6233" t="s">
        <v>7</v>
      </c>
      <c r="B6233" s="5" t="str">
        <f>HYPERLINK("http://www.broadinstitute.org/gsea/msigdb/cards/GOCC_CALCIUM_CHANNEL_COMPLEX.html","GOCC_CALCIUM_CHANNEL_COMPLEX")</f>
        <v>GOCC_CALCIUM_CHANNEL_COMPLEX</v>
      </c>
      <c r="C6233" s="4">
        <v>62</v>
      </c>
      <c r="D6233" s="3">
        <v>-1.4638678000000001</v>
      </c>
      <c r="E6233" s="1">
        <v>1.7994857999999999E-2</v>
      </c>
      <c r="F6233" s="2">
        <v>0.18643813000000001</v>
      </c>
    </row>
    <row r="6234" spans="1:6" x14ac:dyDescent="0.25">
      <c r="A6234" t="s">
        <v>6</v>
      </c>
      <c r="B6234" s="5" t="str">
        <f>HYPERLINK("http://www.broadinstitute.org/gsea/msigdb/cards/GOBP_CELL_AGGREGATION.html","GOBP_CELL_AGGREGATION")</f>
        <v>GOBP_CELL_AGGREGATION</v>
      </c>
      <c r="C6234" s="4">
        <v>24</v>
      </c>
      <c r="D6234" s="3">
        <v>-1.4645220000000001</v>
      </c>
      <c r="E6234" s="1">
        <v>5.2631579999999997E-2</v>
      </c>
      <c r="F6234" s="2">
        <v>0.1861323</v>
      </c>
    </row>
    <row r="6235" spans="1:6" x14ac:dyDescent="0.25">
      <c r="A6235" t="s">
        <v>8</v>
      </c>
      <c r="B6235" s="5" t="str">
        <f>HYPERLINK("http://www.broadinstitute.org/gsea/msigdb/cards/GOMF_TRANSCRIPTION_COREPRESSOR_BINDING.html","GOMF_TRANSCRIPTION_COREPRESSOR_BINDING")</f>
        <v>GOMF_TRANSCRIPTION_COREPRESSOR_BINDING</v>
      </c>
      <c r="C6235" s="4">
        <v>58</v>
      </c>
      <c r="D6235" s="3">
        <v>-1.4657693000000001</v>
      </c>
      <c r="E6235" s="1">
        <v>2.5062655999999999E-2</v>
      </c>
      <c r="F6235" s="2">
        <v>0.18517824999999999</v>
      </c>
    </row>
    <row r="6236" spans="1:6" x14ac:dyDescent="0.25">
      <c r="A6236" t="s">
        <v>6</v>
      </c>
      <c r="B6236" s="5" t="str">
        <f>HYPERLINK("http://www.broadinstitute.org/gsea/msigdb/cards/GOBP_RRNA_MODIFICATION.html","GOBP_RRNA_MODIFICATION")</f>
        <v>GOBP_RRNA_MODIFICATION</v>
      </c>
      <c r="C6236" s="4">
        <v>28</v>
      </c>
      <c r="D6236" s="3">
        <v>-1.4658391</v>
      </c>
      <c r="E6236" s="1">
        <v>4.7381545999999997E-2</v>
      </c>
      <c r="F6236" s="2">
        <v>0.18558664999999999</v>
      </c>
    </row>
    <row r="6237" spans="1:6" x14ac:dyDescent="0.25">
      <c r="A6237" t="s">
        <v>6</v>
      </c>
      <c r="B6237" s="5" t="str">
        <f>HYPERLINK("http://www.broadinstitute.org/gsea/msigdb/cards/GOBP_SYMPATHETIC_NERVOUS_SYSTEM_DEVELOPMENT.html","GOBP_SYMPATHETIC_NERVOUS_SYSTEM_DEVELOPMENT")</f>
        <v>GOBP_SYMPATHETIC_NERVOUS_SYSTEM_DEVELOPMENT</v>
      </c>
      <c r="C6237" s="4">
        <v>24</v>
      </c>
      <c r="D6237" s="3">
        <v>-1.4662913</v>
      </c>
      <c r="E6237" s="1">
        <v>0.05</v>
      </c>
      <c r="F6237" s="2">
        <v>0.18549003999999999</v>
      </c>
    </row>
    <row r="6238" spans="1:6" x14ac:dyDescent="0.25">
      <c r="A6238" t="s">
        <v>8</v>
      </c>
      <c r="B6238" s="5" t="str">
        <f>HYPERLINK("http://www.broadinstitute.org/gsea/msigdb/cards/GOMF_TRANSCRIPTION_COREGULATOR_BINDING.html","GOMF_TRANSCRIPTION_COREGULATOR_BINDING")</f>
        <v>GOMF_TRANSCRIPTION_COREGULATOR_BINDING</v>
      </c>
      <c r="C6238" s="4">
        <v>141</v>
      </c>
      <c r="D6238" s="3">
        <v>-1.4672320999999999</v>
      </c>
      <c r="E6238" s="1">
        <v>6.1349689999999997E-3</v>
      </c>
      <c r="F6238" s="2">
        <v>0.18477922999999999</v>
      </c>
    </row>
    <row r="6239" spans="1:6" x14ac:dyDescent="0.25">
      <c r="A6239" t="s">
        <v>8</v>
      </c>
      <c r="B6239" s="5" t="str">
        <f>HYPERLINK("http://www.broadinstitute.org/gsea/msigdb/cards/GOMF_STRUCTURAL_CONSTITUENT_OF_MUSCLE.html","GOMF_STRUCTURAL_CONSTITUENT_OF_MUSCLE")</f>
        <v>GOMF_STRUCTURAL_CONSTITUENT_OF_MUSCLE</v>
      </c>
      <c r="C6239" s="4">
        <v>21</v>
      </c>
      <c r="D6239" s="3">
        <v>-1.4679549000000001</v>
      </c>
      <c r="E6239" s="1">
        <v>4.4334973999999999E-2</v>
      </c>
      <c r="F6239" s="2">
        <v>0.18427072</v>
      </c>
    </row>
    <row r="6240" spans="1:6" x14ac:dyDescent="0.25">
      <c r="A6240" t="s">
        <v>7</v>
      </c>
      <c r="B6240" s="5" t="str">
        <f>HYPERLINK("http://www.broadinstitute.org/gsea/msigdb/cards/GOCC_NUCLEOTIDE_ACTIVATED_PROTEIN_KINASE_COMPLEX.html","GOCC_NUCLEOTIDE_ACTIVATED_PROTEIN_KINASE_COMPLEX")</f>
        <v>GOCC_NUCLEOTIDE_ACTIVATED_PROTEIN_KINASE_COMPLEX</v>
      </c>
      <c r="C6240" s="4">
        <v>17</v>
      </c>
      <c r="D6240" s="3">
        <v>-1.4686518</v>
      </c>
      <c r="E6240" s="1">
        <v>4.9751244E-2</v>
      </c>
      <c r="F6240" s="2">
        <v>0.18388537999999999</v>
      </c>
    </row>
    <row r="6241" spans="1:6" x14ac:dyDescent="0.25">
      <c r="A6241" t="s">
        <v>8</v>
      </c>
      <c r="B6241" s="5" t="str">
        <f>HYPERLINK("http://www.broadinstitute.org/gsea/msigdb/cards/GOMF_LIGAND_GATED_MONOATOMIC_ION_CHANNEL_ACTIVITY_INVOLVED_IN_REGULATION_OF_PRESYNAPTIC_MEMBRANE_POTENTIAL.html","GOMF_LIGAND_GATED_MONOATOMIC_ION_CHANNEL_ACTIVITY_INVOLVED_IN_REGULATION_OF_PRESYNAPTIC_MEMBRANE_POTENTIAL")</f>
        <v>GOMF_LIGAND_GATED_MONOATOMIC_ION_CHANNEL_ACTIVITY_INVOLVED_IN_REGULATION_OF_PRESYNAPTIC_MEMBRANE_POTENTIAL</v>
      </c>
      <c r="C6241" s="4">
        <v>24</v>
      </c>
      <c r="D6241" s="3">
        <v>-1.4701241</v>
      </c>
      <c r="E6241" s="1">
        <v>4.3062203E-2</v>
      </c>
      <c r="F6241" s="2">
        <v>0.18252452999999999</v>
      </c>
    </row>
    <row r="6242" spans="1:6" x14ac:dyDescent="0.25">
      <c r="A6242" t="s">
        <v>10</v>
      </c>
      <c r="B6242" s="5" t="str">
        <f>HYPERLINK("http://www.broadinstitute.org/gsea/msigdb/cards/REACTOME_RNA_POLYMERASE_II_PROMOTER_ESCAPE.html","REACTOME_RNA_POLYMERASE_II_PROMOTER_ESCAPE")</f>
        <v>REACTOME_RNA_POLYMERASE_II_PROMOTER_ESCAPE</v>
      </c>
      <c r="C6242" s="4">
        <v>44</v>
      </c>
      <c r="D6242" s="3">
        <v>-1.4714624999999999</v>
      </c>
      <c r="E6242" s="1">
        <v>2.5773196000000002E-2</v>
      </c>
      <c r="F6242" s="2">
        <v>0.18139832</v>
      </c>
    </row>
    <row r="6243" spans="1:6" x14ac:dyDescent="0.25">
      <c r="A6243" t="s">
        <v>10</v>
      </c>
      <c r="B6243" s="5" t="str">
        <f>HYPERLINK("http://www.broadinstitute.org/gsea/msigdb/cards/REACTOME_CDK_MEDIATED_PHOSPHORYLATION_AND_REMOVAL_OF_CDC6.html","REACTOME_CDK_MEDIATED_PHOSPHORYLATION_AND_REMOVAL_OF_CDC6")</f>
        <v>REACTOME_CDK_MEDIATED_PHOSPHORYLATION_AND_REMOVAL_OF_CDC6</v>
      </c>
      <c r="C6243" s="4">
        <v>72</v>
      </c>
      <c r="D6243" s="3">
        <v>-1.4767516000000001</v>
      </c>
      <c r="E6243" s="1">
        <v>1.1560693E-2</v>
      </c>
      <c r="F6243" s="2">
        <v>0.1755139</v>
      </c>
    </row>
    <row r="6244" spans="1:6" x14ac:dyDescent="0.25">
      <c r="A6244" t="s">
        <v>7</v>
      </c>
      <c r="B6244" s="5" t="str">
        <f>HYPERLINK("http://www.broadinstitute.org/gsea/msigdb/cards/GOCC_U5_SNRNP.html","GOCC_U5_SNRNP")</f>
        <v>GOCC_U5_SNRNP</v>
      </c>
      <c r="C6244" s="4">
        <v>15</v>
      </c>
      <c r="D6244" s="3">
        <v>-1.4774702</v>
      </c>
      <c r="E6244" s="1">
        <v>5.5696203999999999E-2</v>
      </c>
      <c r="F6244" s="2">
        <v>0.1751441</v>
      </c>
    </row>
    <row r="6245" spans="1:6" x14ac:dyDescent="0.25">
      <c r="A6245" t="s">
        <v>6</v>
      </c>
      <c r="B6245" s="5" t="str">
        <f>HYPERLINK("http://www.broadinstitute.org/gsea/msigdb/cards/GOBP_METAPHASE_ANAPHASE_TRANSITION_OF_CELL_CYCLE.html","GOBP_METAPHASE_ANAPHASE_TRANSITION_OF_CELL_CYCLE")</f>
        <v>GOBP_METAPHASE_ANAPHASE_TRANSITION_OF_CELL_CYCLE</v>
      </c>
      <c r="C6245" s="4">
        <v>95</v>
      </c>
      <c r="D6245" s="3">
        <v>-1.4789365999999999</v>
      </c>
      <c r="E6245" s="1">
        <v>5.7306592E-3</v>
      </c>
      <c r="F6245" s="2">
        <v>0.17389653999999999</v>
      </c>
    </row>
    <row r="6246" spans="1:6" x14ac:dyDescent="0.25">
      <c r="A6246" t="s">
        <v>8</v>
      </c>
      <c r="B6246" s="5" t="str">
        <f>HYPERLINK("http://www.broadinstitute.org/gsea/msigdb/cards/GOMF_RNA_POLYMERASE_CORE_ENZYME_BINDING.html","GOMF_RNA_POLYMERASE_CORE_ENZYME_BINDING")</f>
        <v>GOMF_RNA_POLYMERASE_CORE_ENZYME_BINDING</v>
      </c>
      <c r="C6246" s="4">
        <v>40</v>
      </c>
      <c r="D6246" s="3">
        <v>-1.4793506999999999</v>
      </c>
      <c r="E6246" s="1">
        <v>2.5188917000000002E-2</v>
      </c>
      <c r="F6246" s="2">
        <v>0.17385980000000001</v>
      </c>
    </row>
    <row r="6247" spans="1:6" x14ac:dyDescent="0.25">
      <c r="A6247" t="s">
        <v>6</v>
      </c>
      <c r="B6247" s="5" t="str">
        <f>HYPERLINK("http://www.broadinstitute.org/gsea/msigdb/cards/GOBP_REGULATORY_NCRNA_MEDIATED_GENE_SILENCING.html","GOBP_REGULATORY_NCRNA_MEDIATED_GENE_SILENCING")</f>
        <v>GOBP_REGULATORY_NCRNA_MEDIATED_GENE_SILENCING</v>
      </c>
      <c r="C6247" s="4">
        <v>129</v>
      </c>
      <c r="D6247" s="3">
        <v>-1.4799591999999999</v>
      </c>
      <c r="E6247" s="1">
        <v>0</v>
      </c>
      <c r="F6247" s="2">
        <v>0.17359163</v>
      </c>
    </row>
    <row r="6248" spans="1:6" x14ac:dyDescent="0.25">
      <c r="A6248" t="s">
        <v>6</v>
      </c>
      <c r="B6248" s="5" t="str">
        <f>HYPERLINK("http://www.broadinstitute.org/gsea/msigdb/cards/GOBP_REGULATION_OF_STRIATED_MUSCLE_CELL_DIFFERENTIATION.html","GOBP_REGULATION_OF_STRIATED_MUSCLE_CELL_DIFFERENTIATION")</f>
        <v>GOBP_REGULATION_OF_STRIATED_MUSCLE_CELL_DIFFERENTIATION</v>
      </c>
      <c r="C6248" s="4">
        <v>106</v>
      </c>
      <c r="D6248" s="3">
        <v>-1.4807110000000001</v>
      </c>
      <c r="E6248" s="1">
        <v>1.2345679E-2</v>
      </c>
      <c r="F6248" s="2">
        <v>0.17313953000000001</v>
      </c>
    </row>
    <row r="6249" spans="1:6" x14ac:dyDescent="0.25">
      <c r="A6249" t="s">
        <v>8</v>
      </c>
      <c r="B6249" s="5" t="str">
        <f>HYPERLINK("http://www.broadinstitute.org/gsea/msigdb/cards/GOMF_S_ADENOSYLMETHIONINE_DEPENDENT_METHYLTRANSFERASE_ACTIVITY.html","GOMF_S_ADENOSYLMETHIONINE_DEPENDENT_METHYLTRANSFERASE_ACTIVITY")</f>
        <v>GOMF_S_ADENOSYLMETHIONINE_DEPENDENT_METHYLTRANSFERASE_ACTIVITY</v>
      </c>
      <c r="C6249" s="4">
        <v>153</v>
      </c>
      <c r="D6249" s="3">
        <v>-1.4816343000000001</v>
      </c>
      <c r="E6249" s="1">
        <v>0</v>
      </c>
      <c r="F6249" s="2">
        <v>0.17247625</v>
      </c>
    </row>
    <row r="6250" spans="1:6" x14ac:dyDescent="0.25">
      <c r="A6250" t="s">
        <v>6</v>
      </c>
      <c r="B6250" s="5" t="str">
        <f>HYPERLINK("http://www.broadinstitute.org/gsea/msigdb/cards/GOBP_REGULATION_OF_MYOBLAST_DIFFERENTIATION.html","GOBP_REGULATION_OF_MYOBLAST_DIFFERENTIATION")</f>
        <v>GOBP_REGULATION_OF_MYOBLAST_DIFFERENTIATION</v>
      </c>
      <c r="C6250" s="4">
        <v>85</v>
      </c>
      <c r="D6250" s="3">
        <v>-1.482699</v>
      </c>
      <c r="E6250" s="1">
        <v>2.8985508E-3</v>
      </c>
      <c r="F6250" s="2">
        <v>0.17168488000000001</v>
      </c>
    </row>
    <row r="6251" spans="1:6" x14ac:dyDescent="0.25">
      <c r="A6251" t="s">
        <v>6</v>
      </c>
      <c r="B6251" s="5" t="str">
        <f>HYPERLINK("http://www.broadinstitute.org/gsea/msigdb/cards/GOBP_CEREBELLAR_PURKINJE_CELL_LAYER_MORPHOGENESIS.html","GOBP_CEREBELLAR_PURKINJE_CELL_LAYER_MORPHOGENESIS")</f>
        <v>GOBP_CEREBELLAR_PURKINJE_CELL_LAYER_MORPHOGENESIS</v>
      </c>
      <c r="C6251" s="4">
        <v>25</v>
      </c>
      <c r="D6251" s="3">
        <v>-1.4848047</v>
      </c>
      <c r="E6251" s="1">
        <v>3.7122969999999998E-2</v>
      </c>
      <c r="F6251" s="2">
        <v>0.16972290000000001</v>
      </c>
    </row>
    <row r="6252" spans="1:6" x14ac:dyDescent="0.25">
      <c r="A6252" t="s">
        <v>6</v>
      </c>
      <c r="B6252" s="5" t="str">
        <f>HYPERLINK("http://www.broadinstitute.org/gsea/msigdb/cards/GOBP_EMBRYONIC_SKELETAL_SYSTEM_DEVELOPMENT.html","GOBP_EMBRYONIC_SKELETAL_SYSTEM_DEVELOPMENT")</f>
        <v>GOBP_EMBRYONIC_SKELETAL_SYSTEM_DEVELOPMENT</v>
      </c>
      <c r="C6252" s="4">
        <v>144</v>
      </c>
      <c r="D6252" s="3">
        <v>-1.4851681000000001</v>
      </c>
      <c r="E6252" s="1">
        <v>6.7567570000000004E-3</v>
      </c>
      <c r="F6252" s="2">
        <v>0.16977200000000001</v>
      </c>
    </row>
    <row r="6253" spans="1:6" x14ac:dyDescent="0.25">
      <c r="A6253" t="s">
        <v>8</v>
      </c>
      <c r="B6253" s="5" t="str">
        <f>HYPERLINK("http://www.broadinstitute.org/gsea/msigdb/cards/GOMF_ACETYLCHOLINE_RECEPTOR_ACTIVITY.html","GOMF_ACETYLCHOLINE_RECEPTOR_ACTIVITY")</f>
        <v>GOMF_ACETYLCHOLINE_RECEPTOR_ACTIVITY</v>
      </c>
      <c r="C6253" s="4">
        <v>17</v>
      </c>
      <c r="D6253" s="3">
        <v>-1.4874077999999999</v>
      </c>
      <c r="E6253" s="1">
        <v>5.6053810000000003E-2</v>
      </c>
      <c r="F6253" s="2">
        <v>0.16754329000000001</v>
      </c>
    </row>
    <row r="6254" spans="1:6" x14ac:dyDescent="0.25">
      <c r="A6254" t="s">
        <v>10</v>
      </c>
      <c r="B6254" s="5" t="str">
        <f>HYPERLINK("http://www.broadinstitute.org/gsea/msigdb/cards/REACTOME_SIGNALING_BY_WNT.html","REACTOME_SIGNALING_BY_WNT")</f>
        <v>REACTOME_SIGNALING_BY_WNT</v>
      </c>
      <c r="C6254" s="4">
        <v>233</v>
      </c>
      <c r="D6254" s="3">
        <v>-1.4879049</v>
      </c>
      <c r="E6254" s="1">
        <v>0</v>
      </c>
      <c r="F6254" s="2">
        <v>0.16740927</v>
      </c>
    </row>
    <row r="6255" spans="1:6" x14ac:dyDescent="0.25">
      <c r="A6255" t="s">
        <v>6</v>
      </c>
      <c r="B6255" s="5" t="str">
        <f>HYPERLINK("http://www.broadinstitute.org/gsea/msigdb/cards/GOBP_REGULATION_OF_SYNAPSE_MATURATION.html","GOBP_REGULATION_OF_SYNAPSE_MATURATION")</f>
        <v>GOBP_REGULATION_OF_SYNAPSE_MATURATION</v>
      </c>
      <c r="C6255" s="4">
        <v>23</v>
      </c>
      <c r="D6255" s="3">
        <v>-1.4880788</v>
      </c>
      <c r="E6255" s="1">
        <v>5.5E-2</v>
      </c>
      <c r="F6255" s="2">
        <v>0.16769738000000001</v>
      </c>
    </row>
    <row r="6256" spans="1:6" x14ac:dyDescent="0.25">
      <c r="A6256" t="s">
        <v>8</v>
      </c>
      <c r="B6256" s="5" t="str">
        <f>HYPERLINK("http://www.broadinstitute.org/gsea/msigdb/cards/GOMF_CYCLIN_DEPENDENT_PROTEIN_KINASE_ACTIVITY.html","GOMF_CYCLIN_DEPENDENT_PROTEIN_KINASE_ACTIVITY")</f>
        <v>GOMF_CYCLIN_DEPENDENT_PROTEIN_KINASE_ACTIVITY</v>
      </c>
      <c r="C6256" s="4">
        <v>28</v>
      </c>
      <c r="D6256" s="3">
        <v>-1.4906192</v>
      </c>
      <c r="E6256" s="1">
        <v>3.3898304999999997E-2</v>
      </c>
      <c r="F6256" s="2">
        <v>0.1651763</v>
      </c>
    </row>
    <row r="6257" spans="1:6" x14ac:dyDescent="0.25">
      <c r="A6257" t="s">
        <v>8</v>
      </c>
      <c r="B6257" s="5" t="str">
        <f>HYPERLINK("http://www.broadinstitute.org/gsea/msigdb/cards/GOMF_TRANSFERASE_ACTIVITY_TRANSFERRING_ONE_CARBON_GROUPS.html","GOMF_TRANSFERASE_ACTIVITY_TRANSFERRING_ONE_CARBON_GROUPS")</f>
        <v>GOMF_TRANSFERASE_ACTIVITY_TRANSFERRING_ONE_CARBON_GROUPS</v>
      </c>
      <c r="C6257" s="4">
        <v>208</v>
      </c>
      <c r="D6257" s="3">
        <v>-1.4909216000000001</v>
      </c>
      <c r="E6257" s="1">
        <v>0</v>
      </c>
      <c r="F6257" s="2">
        <v>0.16535691999999999</v>
      </c>
    </row>
    <row r="6258" spans="1:6" x14ac:dyDescent="0.25">
      <c r="A6258" t="s">
        <v>6</v>
      </c>
      <c r="B6258" s="5" t="str">
        <f>HYPERLINK("http://www.broadinstitute.org/gsea/msigdb/cards/GOBP_REGULATION_OF_AMPA_RECEPTOR_ACTIVITY.html","GOBP_REGULATION_OF_AMPA_RECEPTOR_ACTIVITY")</f>
        <v>GOBP_REGULATION_OF_AMPA_RECEPTOR_ACTIVITY</v>
      </c>
      <c r="C6258" s="4">
        <v>27</v>
      </c>
      <c r="D6258" s="3">
        <v>-1.4920361</v>
      </c>
      <c r="E6258" s="1">
        <v>4.9528299999999997E-2</v>
      </c>
      <c r="F6258" s="2">
        <v>0.16446652</v>
      </c>
    </row>
    <row r="6259" spans="1:6" x14ac:dyDescent="0.25">
      <c r="A6259" t="s">
        <v>8</v>
      </c>
      <c r="B6259" s="5" t="str">
        <f>HYPERLINK("http://www.broadinstitute.org/gsea/msigdb/cards/GOMF_ENDONUCLEASE_ACTIVITY_ACTIVE_WITH_EITHER_RIBO_OR_DEOXYRIBONUCLEIC_ACIDS_AND_PRODUCING_3_PHOSPHOMONOESTERS.html","GOMF_ENDONUCLEASE_ACTIVITY_ACTIVE_WITH_EITHER_RIBO_OR_DEOXYRIBONUCLEIC_ACIDS_AND_PRODUCING_3_PHOSPHOMONOESTERS")</f>
        <v>GOMF_ENDONUCLEASE_ACTIVITY_ACTIVE_WITH_EITHER_RIBO_OR_DEOXYRIBONUCLEIC_ACIDS_AND_PRODUCING_3_PHOSPHOMONOESTERS</v>
      </c>
      <c r="C6259" s="4">
        <v>15</v>
      </c>
      <c r="D6259" s="3">
        <v>-1.4925324</v>
      </c>
      <c r="E6259" s="1">
        <v>6.5315310000000001E-2</v>
      </c>
      <c r="F6259" s="2">
        <v>0.16440216999999999</v>
      </c>
    </row>
    <row r="6260" spans="1:6" x14ac:dyDescent="0.25">
      <c r="A6260" t="s">
        <v>6</v>
      </c>
      <c r="B6260" s="5" t="str">
        <f>HYPERLINK("http://www.broadinstitute.org/gsea/msigdb/cards/GOBP_REGULATION_OF_SISTER_CHROMATID_SEGREGATION.html","GOBP_REGULATION_OF_SISTER_CHROMATID_SEGREGATION")</f>
        <v>GOBP_REGULATION_OF_SISTER_CHROMATID_SEGREGATION</v>
      </c>
      <c r="C6260" s="4">
        <v>103</v>
      </c>
      <c r="D6260" s="3">
        <v>-1.4928218</v>
      </c>
      <c r="E6260" s="1">
        <v>1.4619883E-2</v>
      </c>
      <c r="F6260" s="2">
        <v>0.16453667999999999</v>
      </c>
    </row>
    <row r="6261" spans="1:6" x14ac:dyDescent="0.25">
      <c r="A6261" t="s">
        <v>10</v>
      </c>
      <c r="B6261" s="5" t="str">
        <f>HYPERLINK("http://www.broadinstitute.org/gsea/msigdb/cards/REACTOME_TRANSCRIPTIONAL_REGULATION_BY_TP53.html","REACTOME_TRANSCRIPTIONAL_REGULATION_BY_TP53")</f>
        <v>REACTOME_TRANSCRIPTIONAL_REGULATION_BY_TP53</v>
      </c>
      <c r="C6261" s="4">
        <v>293</v>
      </c>
      <c r="D6261" s="3">
        <v>-1.4936290999999999</v>
      </c>
      <c r="E6261" s="1">
        <v>0</v>
      </c>
      <c r="F6261" s="2">
        <v>0.16404273</v>
      </c>
    </row>
    <row r="6262" spans="1:6" x14ac:dyDescent="0.25">
      <c r="A6262" t="s">
        <v>10</v>
      </c>
      <c r="B6262" s="5" t="str">
        <f>HYPERLINK("http://www.broadinstitute.org/gsea/msigdb/cards/REACTOME_APC_C_CDH1_MEDIATED_DEGRADATION_OF_CDC20_AND_OTHER_APC_C_CDH1_TARGETED_PROTEINS_IN_LATE_MITOSIS_EARLY_G1.html","REACTOME_APC_C_CDH1_MEDIATED_DEGRADATION_OF_CDC20_AND_OTHER_APC_C_CDH1_TARGETED_PROTEINS_IN_LATE_MITOSIS_EARLY_G1")</f>
        <v>REACTOME_APC_C_CDH1_MEDIATED_DEGRADATION_OF_CDC20_AND_OTHER_APC_C_CDH1_TARGETED_PROTEINS_IN_LATE_MITOSIS_EARLY_G1</v>
      </c>
      <c r="C6262" s="4">
        <v>73</v>
      </c>
      <c r="D6262" s="3">
        <v>-1.4937659999999999</v>
      </c>
      <c r="E6262" s="1">
        <v>1.0899182E-2</v>
      </c>
      <c r="F6262" s="2">
        <v>0.16432187000000001</v>
      </c>
    </row>
    <row r="6263" spans="1:6" x14ac:dyDescent="0.25">
      <c r="A6263" t="s">
        <v>6</v>
      </c>
      <c r="B6263" s="5" t="str">
        <f>HYPERLINK("http://www.broadinstitute.org/gsea/msigdb/cards/GOBP_EXIT_FROM_MITOSIS.html","GOBP_EXIT_FROM_MITOSIS")</f>
        <v>GOBP_EXIT_FROM_MITOSIS</v>
      </c>
      <c r="C6263" s="4">
        <v>28</v>
      </c>
      <c r="D6263" s="3">
        <v>-1.4938537000000001</v>
      </c>
      <c r="E6263" s="1">
        <v>2.3746700999999999E-2</v>
      </c>
      <c r="F6263" s="2">
        <v>0.16467011000000001</v>
      </c>
    </row>
    <row r="6264" spans="1:6" x14ac:dyDescent="0.25">
      <c r="A6264" t="s">
        <v>6</v>
      </c>
      <c r="B6264" s="5" t="str">
        <f>HYPERLINK("http://www.broadinstitute.org/gsea/msigdb/cards/GOBP_PROTEIN_DNA_COMPLEX_ASSEMBLY.html","GOBP_PROTEIN_DNA_COMPLEX_ASSEMBLY")</f>
        <v>GOBP_PROTEIN_DNA_COMPLEX_ASSEMBLY</v>
      </c>
      <c r="C6264" s="4">
        <v>170</v>
      </c>
      <c r="D6264" s="3">
        <v>-1.4939822</v>
      </c>
      <c r="E6264" s="1">
        <v>0</v>
      </c>
      <c r="F6264" s="2">
        <v>0.16497239999999999</v>
      </c>
    </row>
    <row r="6265" spans="1:6" x14ac:dyDescent="0.25">
      <c r="A6265" t="s">
        <v>8</v>
      </c>
      <c r="B6265" s="5" t="str">
        <f>HYPERLINK("http://www.broadinstitute.org/gsea/msigdb/cards/GOMF_PROTEIN_LYSINE_N_METHYLTRANSFERASE_ACTIVITY.html","GOMF_PROTEIN_LYSINE_N_METHYLTRANSFERASE_ACTIVITY")</f>
        <v>GOMF_PROTEIN_LYSINE_N_METHYLTRANSFERASE_ACTIVITY</v>
      </c>
      <c r="C6265" s="4">
        <v>56</v>
      </c>
      <c r="D6265" s="3">
        <v>-1.4945961999999999</v>
      </c>
      <c r="E6265" s="1">
        <v>1.2987013E-2</v>
      </c>
      <c r="F6265" s="2">
        <v>0.16472505000000001</v>
      </c>
    </row>
    <row r="6266" spans="1:6" x14ac:dyDescent="0.25">
      <c r="A6266" t="s">
        <v>6</v>
      </c>
      <c r="B6266" s="5" t="str">
        <f>HYPERLINK("http://www.broadinstitute.org/gsea/msigdb/cards/GOBP_REGULATION_OF_CARDIAC_MUSCLE_CELL_DIFFERENTIATION.html","GOBP_REGULATION_OF_CARDIAC_MUSCLE_CELL_DIFFERENTIATION")</f>
        <v>GOBP_REGULATION_OF_CARDIAC_MUSCLE_CELL_DIFFERENTIATION</v>
      </c>
      <c r="C6266" s="4">
        <v>19</v>
      </c>
      <c r="D6266" s="3">
        <v>-1.4976598000000001</v>
      </c>
      <c r="E6266" s="1">
        <v>4.8076924E-2</v>
      </c>
      <c r="F6266" s="2">
        <v>0.16188728999999999</v>
      </c>
    </row>
    <row r="6267" spans="1:6" x14ac:dyDescent="0.25">
      <c r="A6267" t="s">
        <v>10</v>
      </c>
      <c r="B6267" s="5" t="str">
        <f>HYPERLINK("http://www.broadinstitute.org/gsea/msigdb/cards/REACTOME_CARDIAC_CONDUCTION.html","REACTOME_CARDIAC_CONDUCTION")</f>
        <v>REACTOME_CARDIAC_CONDUCTION</v>
      </c>
      <c r="C6267" s="4">
        <v>98</v>
      </c>
      <c r="D6267" s="3">
        <v>-1.4979453</v>
      </c>
      <c r="E6267" s="1">
        <v>0</v>
      </c>
      <c r="F6267" s="2">
        <v>0.16201313000000001</v>
      </c>
    </row>
    <row r="6268" spans="1:6" x14ac:dyDescent="0.25">
      <c r="A6268" t="s">
        <v>6</v>
      </c>
      <c r="B6268" s="5" t="str">
        <f>HYPERLINK("http://www.broadinstitute.org/gsea/msigdb/cards/GOBP_MYOBLAST_DIFFERENTIATION.html","GOBP_MYOBLAST_DIFFERENTIATION")</f>
        <v>GOBP_MYOBLAST_DIFFERENTIATION</v>
      </c>
      <c r="C6268" s="4">
        <v>121</v>
      </c>
      <c r="D6268" s="3">
        <v>-1.4981466999999999</v>
      </c>
      <c r="E6268" s="1">
        <v>0</v>
      </c>
      <c r="F6268" s="2">
        <v>0.16222893999999999</v>
      </c>
    </row>
    <row r="6269" spans="1:6" x14ac:dyDescent="0.25">
      <c r="A6269" t="s">
        <v>5</v>
      </c>
      <c r="B6269" s="5" t="str">
        <f>HYPERLINK("http://www.broadinstitute.org/gsea/msigdb/cards/BIOCARTA_MTA3_PATHWAY.html","BIOCARTA_MTA3_PATHWAY")</f>
        <v>BIOCARTA_MTA3_PATHWAY</v>
      </c>
      <c r="C6269" s="4">
        <v>19</v>
      </c>
      <c r="D6269" s="3">
        <v>-1.5003481999999999</v>
      </c>
      <c r="E6269" s="1">
        <v>4.5673076E-2</v>
      </c>
      <c r="F6269" s="2">
        <v>0.16014597</v>
      </c>
    </row>
    <row r="6270" spans="1:6" x14ac:dyDescent="0.25">
      <c r="A6270" t="s">
        <v>8</v>
      </c>
      <c r="B6270" s="5" t="str">
        <f>HYPERLINK("http://www.broadinstitute.org/gsea/msigdb/cards/GOMF_2_IRON_2_SULFUR_CLUSTER_BINDING.html","GOMF_2_IRON_2_SULFUR_CLUSTER_BINDING")</f>
        <v>GOMF_2_IRON_2_SULFUR_CLUSTER_BINDING</v>
      </c>
      <c r="C6270" s="4">
        <v>26</v>
      </c>
      <c r="D6270" s="3">
        <v>-1.5016372</v>
      </c>
      <c r="E6270" s="1">
        <v>4.0816326E-2</v>
      </c>
      <c r="F6270" s="2">
        <v>0.15916076000000001</v>
      </c>
    </row>
    <row r="6271" spans="1:6" x14ac:dyDescent="0.25">
      <c r="A6271" t="s">
        <v>7</v>
      </c>
      <c r="B6271" s="5" t="str">
        <f>HYPERLINK("http://www.broadinstitute.org/gsea/msigdb/cards/GOCC_RNA_POLYMERASE_COMPLEX.html","GOCC_RNA_POLYMERASE_COMPLEX")</f>
        <v>GOCC_RNA_POLYMERASE_COMPLEX</v>
      </c>
      <c r="C6271" s="4">
        <v>96</v>
      </c>
      <c r="D6271" s="3">
        <v>-1.5021529</v>
      </c>
      <c r="E6271" s="1">
        <v>2.7624310000000001E-3</v>
      </c>
      <c r="F6271" s="2">
        <v>0.15901865000000001</v>
      </c>
    </row>
    <row r="6272" spans="1:6" x14ac:dyDescent="0.25">
      <c r="A6272" t="s">
        <v>6</v>
      </c>
      <c r="B6272" s="5" t="str">
        <f>HYPERLINK("http://www.broadinstitute.org/gsea/msigdb/cards/GOBP_CEREBELLAR_PURKINJE_CELL_LAYER_FORMATION.html","GOBP_CEREBELLAR_PURKINJE_CELL_LAYER_FORMATION")</f>
        <v>GOBP_CEREBELLAR_PURKINJE_CELL_LAYER_FORMATION</v>
      </c>
      <c r="C6272" s="4">
        <v>20</v>
      </c>
      <c r="D6272" s="3">
        <v>-1.5044626999999999</v>
      </c>
      <c r="E6272" s="1">
        <v>4.2154564999999998E-2</v>
      </c>
      <c r="F6272" s="2">
        <v>0.15698153000000001</v>
      </c>
    </row>
    <row r="6273" spans="1:6" x14ac:dyDescent="0.25">
      <c r="A6273" t="s">
        <v>6</v>
      </c>
      <c r="B6273" s="5" t="str">
        <f>HYPERLINK("http://www.broadinstitute.org/gsea/msigdb/cards/GOBP_RRNA_TRANSCRIPTION.html","GOBP_RRNA_TRANSCRIPTION")</f>
        <v>GOBP_RRNA_TRANSCRIPTION</v>
      </c>
      <c r="C6273" s="4">
        <v>36</v>
      </c>
      <c r="D6273" s="3">
        <v>-1.5044850000000001</v>
      </c>
      <c r="E6273" s="1">
        <v>2.8368793E-2</v>
      </c>
      <c r="F6273" s="2">
        <v>0.15738451000000001</v>
      </c>
    </row>
    <row r="6274" spans="1:6" x14ac:dyDescent="0.25">
      <c r="A6274" t="s">
        <v>9</v>
      </c>
      <c r="B6274" s="5" t="str">
        <f>HYPERLINK("http://www.broadinstitute.org/gsea/msigdb/cards/HALLMARK_MYOGENESIS.html","HALLMARK_MYOGENESIS")</f>
        <v>HALLMARK_MYOGENESIS</v>
      </c>
      <c r="C6274" s="4">
        <v>199</v>
      </c>
      <c r="D6274" s="3">
        <v>-1.5057296</v>
      </c>
      <c r="E6274" s="1">
        <v>0</v>
      </c>
      <c r="F6274" s="2">
        <v>0.15650342</v>
      </c>
    </row>
    <row r="6275" spans="1:6" x14ac:dyDescent="0.25">
      <c r="A6275" t="s">
        <v>6</v>
      </c>
      <c r="B6275" s="5" t="str">
        <f>HYPERLINK("http://www.broadinstitute.org/gsea/msigdb/cards/GOBP_REGULATION_OF_RESPIRATORY_SYSTEM_PROCESS.html","GOBP_REGULATION_OF_RESPIRATORY_SYSTEM_PROCESS")</f>
        <v>GOBP_REGULATION_OF_RESPIRATORY_SYSTEM_PROCESS</v>
      </c>
      <c r="C6275" s="4">
        <v>16</v>
      </c>
      <c r="D6275" s="3">
        <v>-1.5083095</v>
      </c>
      <c r="E6275" s="1">
        <v>5.9602648000000001E-2</v>
      </c>
      <c r="F6275" s="2">
        <v>0.15414344999999999</v>
      </c>
    </row>
    <row r="6276" spans="1:6" x14ac:dyDescent="0.25">
      <c r="A6276" t="s">
        <v>7</v>
      </c>
      <c r="B6276" s="5" t="str">
        <f>HYPERLINK("http://www.broadinstitute.org/gsea/msigdb/cards/GOCC_SMN_SM_PROTEIN_COMPLEX.html","GOCC_SMN_SM_PROTEIN_COMPLEX")</f>
        <v>GOCC_SMN_SM_PROTEIN_COMPLEX</v>
      </c>
      <c r="C6276" s="4">
        <v>17</v>
      </c>
      <c r="D6276" s="3">
        <v>-1.5092403999999999</v>
      </c>
      <c r="E6276" s="1">
        <v>3.9534884999999999E-2</v>
      </c>
      <c r="F6276" s="2">
        <v>0.1535752</v>
      </c>
    </row>
    <row r="6277" spans="1:6" x14ac:dyDescent="0.25">
      <c r="A6277" t="s">
        <v>6</v>
      </c>
      <c r="B6277" s="5" t="str">
        <f>HYPERLINK("http://www.broadinstitute.org/gsea/msigdb/cards/GOBP_TRACHEA_DEVELOPMENT.html","GOBP_TRACHEA_DEVELOPMENT")</f>
        <v>GOBP_TRACHEA_DEVELOPMENT</v>
      </c>
      <c r="C6277" s="4">
        <v>22</v>
      </c>
      <c r="D6277" s="3">
        <v>-1.5093068000000001</v>
      </c>
      <c r="E6277" s="1">
        <v>2.5114154E-2</v>
      </c>
      <c r="F6277" s="2">
        <v>0.15394334000000001</v>
      </c>
    </row>
    <row r="6278" spans="1:6" x14ac:dyDescent="0.25">
      <c r="A6278" t="s">
        <v>6</v>
      </c>
      <c r="B6278" s="5" t="str">
        <f>HYPERLINK("http://www.broadinstitute.org/gsea/msigdb/cards/GOBP_VOCALIZATION_BEHAVIOR.html","GOBP_VOCALIZATION_BEHAVIOR")</f>
        <v>GOBP_VOCALIZATION_BEHAVIOR</v>
      </c>
      <c r="C6278" s="4">
        <v>21</v>
      </c>
      <c r="D6278" s="3">
        <v>-1.5102078999999999</v>
      </c>
      <c r="E6278" s="1">
        <v>4.2452829999999997E-2</v>
      </c>
      <c r="F6278" s="2">
        <v>0.1534518</v>
      </c>
    </row>
    <row r="6279" spans="1:6" x14ac:dyDescent="0.25">
      <c r="A6279" t="s">
        <v>6</v>
      </c>
      <c r="B6279" s="5" t="str">
        <f>HYPERLINK("http://www.broadinstitute.org/gsea/msigdb/cards/GOBP_POSITIVE_REGULATION_OF_TELOMERE_MAINTENANCE_IN_RESPONSE_TO_DNA_DAMAGE.html","GOBP_POSITIVE_REGULATION_OF_TELOMERE_MAINTENANCE_IN_RESPONSE_TO_DNA_DAMAGE")</f>
        <v>GOBP_POSITIVE_REGULATION_OF_TELOMERE_MAINTENANCE_IN_RESPONSE_TO_DNA_DAMAGE</v>
      </c>
      <c r="C6279" s="4">
        <v>15</v>
      </c>
      <c r="D6279" s="3">
        <v>-1.5122038</v>
      </c>
      <c r="E6279" s="1">
        <v>4.9327355000000003E-2</v>
      </c>
      <c r="F6279" s="2">
        <v>0.15191210999999999</v>
      </c>
    </row>
    <row r="6280" spans="1:6" x14ac:dyDescent="0.25">
      <c r="A6280" t="s">
        <v>6</v>
      </c>
      <c r="B6280" s="5" t="str">
        <f>HYPERLINK("http://www.broadinstitute.org/gsea/msigdb/cards/GOBP_REGULATION_OF_STEM_CELL_POPULATION_MAINTENANCE.html","GOBP_REGULATION_OF_STEM_CELL_POPULATION_MAINTENANCE")</f>
        <v>GOBP_REGULATION_OF_STEM_CELL_POPULATION_MAINTENANCE</v>
      </c>
      <c r="C6280" s="4">
        <v>75</v>
      </c>
      <c r="D6280" s="3">
        <v>-1.5137807000000001</v>
      </c>
      <c r="E6280" s="1">
        <v>5.7306592E-3</v>
      </c>
      <c r="F6280" s="2">
        <v>0.15068318</v>
      </c>
    </row>
    <row r="6281" spans="1:6" x14ac:dyDescent="0.25">
      <c r="A6281" t="s">
        <v>6</v>
      </c>
      <c r="B6281" s="5" t="str">
        <f>HYPERLINK("http://www.broadinstitute.org/gsea/msigdb/cards/GOBP_ANDROGEN_RECEPTOR_SIGNALING_PATHWAY.html","GOBP_ANDROGEN_RECEPTOR_SIGNALING_PATHWAY")</f>
        <v>GOBP_ANDROGEN_RECEPTOR_SIGNALING_PATHWAY</v>
      </c>
      <c r="C6281" s="4">
        <v>42</v>
      </c>
      <c r="D6281" s="3">
        <v>-1.5141249999999999</v>
      </c>
      <c r="E6281" s="1">
        <v>2.2058824000000001E-2</v>
      </c>
      <c r="F6281" s="2">
        <v>0.15075873000000001</v>
      </c>
    </row>
    <row r="6282" spans="1:6" x14ac:dyDescent="0.25">
      <c r="A6282" t="s">
        <v>6</v>
      </c>
      <c r="B6282" s="5" t="str">
        <f>HYPERLINK("http://www.broadinstitute.org/gsea/msigdb/cards/GOBP_CELL_DIFFERENTIATION_IN_HINDBRAIN.html","GOBP_CELL_DIFFERENTIATION_IN_HINDBRAIN")</f>
        <v>GOBP_CELL_DIFFERENTIATION_IN_HINDBRAIN</v>
      </c>
      <c r="C6282" s="4">
        <v>31</v>
      </c>
      <c r="D6282" s="3">
        <v>-1.5147063999999999</v>
      </c>
      <c r="E6282" s="1">
        <v>3.0075188999999999E-2</v>
      </c>
      <c r="F6282" s="2">
        <v>0.15053997999999999</v>
      </c>
    </row>
    <row r="6283" spans="1:6" x14ac:dyDescent="0.25">
      <c r="A6283" t="s">
        <v>6</v>
      </c>
      <c r="B6283" s="5" t="str">
        <f>HYPERLINK("http://www.broadinstitute.org/gsea/msigdb/cards/GOBP_MITOCHONDRIAL_RNA_METABOLIC_PROCESS.html","GOBP_MITOCHONDRIAL_RNA_METABOLIC_PROCESS")</f>
        <v>GOBP_MITOCHONDRIAL_RNA_METABOLIC_PROCESS</v>
      </c>
      <c r="C6283" s="4">
        <v>52</v>
      </c>
      <c r="D6283" s="3">
        <v>-1.5159750999999999</v>
      </c>
      <c r="E6283" s="1">
        <v>2.4324324000000001E-2</v>
      </c>
      <c r="F6283" s="2">
        <v>0.14963715</v>
      </c>
    </row>
    <row r="6284" spans="1:6" x14ac:dyDescent="0.25">
      <c r="A6284" t="s">
        <v>6</v>
      </c>
      <c r="B6284" s="5" t="str">
        <f>HYPERLINK("http://www.broadinstitute.org/gsea/msigdb/cards/GOBP_INSULIN_LIKE_GROWTH_FACTOR_RECEPTOR_SIGNALING_PATHWAY.html","GOBP_INSULIN_LIKE_GROWTH_FACTOR_RECEPTOR_SIGNALING_PATHWAY")</f>
        <v>GOBP_INSULIN_LIKE_GROWTH_FACTOR_RECEPTOR_SIGNALING_PATHWAY</v>
      </c>
      <c r="C6284" s="4">
        <v>51</v>
      </c>
      <c r="D6284" s="3">
        <v>-1.5160830000000001</v>
      </c>
      <c r="E6284" s="1">
        <v>3.3766232E-2</v>
      </c>
      <c r="F6284" s="2">
        <v>0.14997867000000001</v>
      </c>
    </row>
    <row r="6285" spans="1:6" x14ac:dyDescent="0.25">
      <c r="A6285" t="s">
        <v>10</v>
      </c>
      <c r="B6285" s="5" t="str">
        <f>HYPERLINK("http://www.broadinstitute.org/gsea/msigdb/cards/REACTOME_NUCLEOTIDE_EXCISION_REPAIR.html","REACTOME_NUCLEOTIDE_EXCISION_REPAIR")</f>
        <v>REACTOME_NUCLEOTIDE_EXCISION_REPAIR</v>
      </c>
      <c r="C6285" s="4">
        <v>107</v>
      </c>
      <c r="D6285" s="3">
        <v>-1.5177555</v>
      </c>
      <c r="E6285" s="1">
        <v>8.8495575000000007E-3</v>
      </c>
      <c r="F6285" s="2">
        <v>0.14858745000000001</v>
      </c>
    </row>
    <row r="6286" spans="1:6" x14ac:dyDescent="0.25">
      <c r="A6286" t="s">
        <v>6</v>
      </c>
      <c r="B6286" s="5" t="str">
        <f>HYPERLINK("http://www.broadinstitute.org/gsea/msigdb/cards/GOBP_POSITIVE_REGULATION_OF_ANIMAL_ORGAN_MORPHOGENESIS.html","GOBP_POSITIVE_REGULATION_OF_ANIMAL_ORGAN_MORPHOGENESIS")</f>
        <v>GOBP_POSITIVE_REGULATION_OF_ANIMAL_ORGAN_MORPHOGENESIS</v>
      </c>
      <c r="C6286" s="4">
        <v>41</v>
      </c>
      <c r="D6286" s="3">
        <v>-1.5180262</v>
      </c>
      <c r="E6286" s="1">
        <v>1.5113349999999999E-2</v>
      </c>
      <c r="F6286" s="2">
        <v>0.14875943999999999</v>
      </c>
    </row>
    <row r="6287" spans="1:6" x14ac:dyDescent="0.25">
      <c r="A6287" t="s">
        <v>8</v>
      </c>
      <c r="B6287" s="5" t="str">
        <f>HYPERLINK("http://www.broadinstitute.org/gsea/msigdb/cards/GOMF_BHLH_TRANSCRIPTION_FACTOR_BINDING.html","GOMF_BHLH_TRANSCRIPTION_FACTOR_BINDING")</f>
        <v>GOMF_BHLH_TRANSCRIPTION_FACTOR_BINDING</v>
      </c>
      <c r="C6287" s="4">
        <v>36</v>
      </c>
      <c r="D6287" s="3">
        <v>-1.5182291999999999</v>
      </c>
      <c r="E6287" s="1">
        <v>2.6378895999999999E-2</v>
      </c>
      <c r="F6287" s="2">
        <v>0.14896806000000001</v>
      </c>
    </row>
    <row r="6288" spans="1:6" x14ac:dyDescent="0.25">
      <c r="A6288" t="s">
        <v>10</v>
      </c>
      <c r="B6288" s="5" t="str">
        <f>HYPERLINK("http://www.broadinstitute.org/gsea/msigdb/cards/REACTOME_PYRUVATE_METABOLISM_AND_CITRIC_ACID_TCA_CYCLE.html","REACTOME_PYRUVATE_METABOLISM_AND_CITRIC_ACID_TCA_CYCLE")</f>
        <v>REACTOME_PYRUVATE_METABOLISM_AND_CITRIC_ACID_TCA_CYCLE</v>
      </c>
      <c r="C6288" s="4">
        <v>46</v>
      </c>
      <c r="D6288" s="3">
        <v>-1.519137</v>
      </c>
      <c r="E6288" s="1">
        <v>1.0230179000000001E-2</v>
      </c>
      <c r="F6288" s="2">
        <v>0.14846471999999999</v>
      </c>
    </row>
    <row r="6289" spans="1:6" x14ac:dyDescent="0.25">
      <c r="A6289" t="s">
        <v>6</v>
      </c>
      <c r="B6289" s="5" t="str">
        <f>HYPERLINK("http://www.broadinstitute.org/gsea/msigdb/cards/GOBP_EMBRYONIC_HINDLIMB_MORPHOGENESIS.html","GOBP_EMBRYONIC_HINDLIMB_MORPHOGENESIS")</f>
        <v>GOBP_EMBRYONIC_HINDLIMB_MORPHOGENESIS</v>
      </c>
      <c r="C6289" s="4">
        <v>35</v>
      </c>
      <c r="D6289" s="3">
        <v>-1.5194008000000001</v>
      </c>
      <c r="E6289" s="1">
        <v>2.5062655999999999E-2</v>
      </c>
      <c r="F6289" s="2">
        <v>0.14864825000000001</v>
      </c>
    </row>
    <row r="6290" spans="1:6" x14ac:dyDescent="0.25">
      <c r="A6290" t="s">
        <v>7</v>
      </c>
      <c r="B6290" s="5" t="str">
        <f>HYPERLINK("http://www.broadinstitute.org/gsea/msigdb/cards/GOCC_HISTONE_METHYLTRANSFERASE_COMPLEX.html","GOCC_HISTONE_METHYLTRANSFERASE_COMPLEX")</f>
        <v>GOCC_HISTONE_METHYLTRANSFERASE_COMPLEX</v>
      </c>
      <c r="C6290" s="4">
        <v>70</v>
      </c>
      <c r="D6290" s="3">
        <v>-1.5202888000000001</v>
      </c>
      <c r="E6290" s="1">
        <v>0</v>
      </c>
      <c r="F6290" s="2">
        <v>0.14815710000000001</v>
      </c>
    </row>
    <row r="6291" spans="1:6" x14ac:dyDescent="0.25">
      <c r="A6291" t="s">
        <v>6</v>
      </c>
      <c r="B6291" s="5" t="str">
        <f>HYPERLINK("http://www.broadinstitute.org/gsea/msigdb/cards/GOBP_NUCLEOSIDE_PHOSPHATE_BIOSYNTHETIC_PROCESS.html","GOBP_NUCLEOSIDE_PHOSPHATE_BIOSYNTHETIC_PROCESS")</f>
        <v>GOBP_NUCLEOSIDE_PHOSPHATE_BIOSYNTHETIC_PROCESS</v>
      </c>
      <c r="C6291" s="4">
        <v>251</v>
      </c>
      <c r="D6291" s="3">
        <v>-1.5232502999999999</v>
      </c>
      <c r="E6291" s="1">
        <v>0</v>
      </c>
      <c r="F6291" s="2">
        <v>0.14538867999999999</v>
      </c>
    </row>
    <row r="6292" spans="1:6" x14ac:dyDescent="0.25">
      <c r="A6292" t="s">
        <v>6</v>
      </c>
      <c r="B6292" s="5" t="str">
        <f>HYPERLINK("http://www.broadinstitute.org/gsea/msigdb/cards/GOBP_REGULATION_OF_SKELETAL_MUSCLE_CELL_DIFFERENTIATION.html","GOBP_REGULATION_OF_SKELETAL_MUSCLE_CELL_DIFFERENTIATION")</f>
        <v>GOBP_REGULATION_OF_SKELETAL_MUSCLE_CELL_DIFFERENTIATION</v>
      </c>
      <c r="C6292" s="4">
        <v>22</v>
      </c>
      <c r="D6292" s="3">
        <v>-1.5233318</v>
      </c>
      <c r="E6292" s="1">
        <v>3.2786883000000003E-2</v>
      </c>
      <c r="F6292" s="2">
        <v>0.14574166999999999</v>
      </c>
    </row>
    <row r="6293" spans="1:6" x14ac:dyDescent="0.25">
      <c r="A6293" t="s">
        <v>10</v>
      </c>
      <c r="B6293" s="5" t="str">
        <f>HYPERLINK("http://www.broadinstitute.org/gsea/msigdb/cards/REACTOME_SCF_SKP2_MEDIATED_DEGRADATION_OF_P27_P21.html","REACTOME_SCF_SKP2_MEDIATED_DEGRADATION_OF_P27_P21")</f>
        <v>REACTOME_SCF_SKP2_MEDIATED_DEGRADATION_OF_P27_P21</v>
      </c>
      <c r="C6293" s="4">
        <v>59</v>
      </c>
      <c r="D6293" s="3">
        <v>-1.523719</v>
      </c>
      <c r="E6293" s="1">
        <v>1.1661807999999999E-2</v>
      </c>
      <c r="F6293" s="2">
        <v>0.14580699999999999</v>
      </c>
    </row>
    <row r="6294" spans="1:6" x14ac:dyDescent="0.25">
      <c r="A6294" t="s">
        <v>6</v>
      </c>
      <c r="B6294" s="5" t="str">
        <f>HYPERLINK("http://www.broadinstitute.org/gsea/msigdb/cards/GOBP_REGULATION_OF_SKELETAL_MUSCLE_ADAPTATION.html","GOBP_REGULATION_OF_SKELETAL_MUSCLE_ADAPTATION")</f>
        <v>GOBP_REGULATION_OF_SKELETAL_MUSCLE_ADAPTATION</v>
      </c>
      <c r="C6294" s="4">
        <v>15</v>
      </c>
      <c r="D6294" s="3">
        <v>-1.5237219</v>
      </c>
      <c r="E6294" s="1">
        <v>6.4439140000000006E-2</v>
      </c>
      <c r="F6294" s="2">
        <v>0.14624617000000001</v>
      </c>
    </row>
    <row r="6295" spans="1:6" x14ac:dyDescent="0.25">
      <c r="A6295" t="s">
        <v>10</v>
      </c>
      <c r="B6295" s="5" t="str">
        <f>HYPERLINK("http://www.broadinstitute.org/gsea/msigdb/cards/REACTOME_FORMATION_OF_THE_BETA_CATENIN_TCF_TRANSACTIVATING_COMPLEX.html","REACTOME_FORMATION_OF_THE_BETA_CATENIN_TCF_TRANSACTIVATING_COMPLEX")</f>
        <v>REACTOME_FORMATION_OF_THE_BETA_CATENIN_TCF_TRANSACTIVATING_COMPLEX</v>
      </c>
      <c r="C6295" s="4">
        <v>23</v>
      </c>
      <c r="D6295" s="3">
        <v>-1.5239836</v>
      </c>
      <c r="E6295" s="1">
        <v>2.5404157E-2</v>
      </c>
      <c r="F6295" s="2">
        <v>0.14644167</v>
      </c>
    </row>
    <row r="6296" spans="1:6" x14ac:dyDescent="0.25">
      <c r="A6296" t="s">
        <v>6</v>
      </c>
      <c r="B6296" s="5" t="str">
        <f>HYPERLINK("http://www.broadinstitute.org/gsea/msigdb/cards/GOBP_PROTEIN_LOCALIZATION_TO_SYNAPSE.html","GOBP_PROTEIN_LOCALIZATION_TO_SYNAPSE")</f>
        <v>GOBP_PROTEIN_LOCALIZATION_TO_SYNAPSE</v>
      </c>
      <c r="C6296" s="4">
        <v>100</v>
      </c>
      <c r="D6296" s="3">
        <v>-1.5257864000000001</v>
      </c>
      <c r="E6296" s="1">
        <v>2.9940119999999999E-3</v>
      </c>
      <c r="F6296" s="2">
        <v>0.14488608</v>
      </c>
    </row>
    <row r="6297" spans="1:6" x14ac:dyDescent="0.25">
      <c r="A6297" t="s">
        <v>6</v>
      </c>
      <c r="B6297" s="5" t="str">
        <f>HYPERLINK("http://www.broadinstitute.org/gsea/msigdb/cards/GOBP_REGULATION_OF_RESPIRATORY_GASEOUS_EXCHANGE.html","GOBP_REGULATION_OF_RESPIRATORY_GASEOUS_EXCHANGE")</f>
        <v>GOBP_REGULATION_OF_RESPIRATORY_GASEOUS_EXCHANGE</v>
      </c>
      <c r="C6297" s="4">
        <v>26</v>
      </c>
      <c r="D6297" s="3">
        <v>-1.5258342</v>
      </c>
      <c r="E6297" s="1">
        <v>2.5345622000000002E-2</v>
      </c>
      <c r="F6297" s="2">
        <v>0.14527656</v>
      </c>
    </row>
    <row r="6298" spans="1:6" x14ac:dyDescent="0.25">
      <c r="A6298" t="s">
        <v>10</v>
      </c>
      <c r="B6298" s="5" t="str">
        <f>HYPERLINK("http://www.broadinstitute.org/gsea/msigdb/cards/REACTOME_DEGRADATION_OF_AXIN.html","REACTOME_DEGRADATION_OF_AXIN")</f>
        <v>REACTOME_DEGRADATION_OF_AXIN</v>
      </c>
      <c r="C6298" s="4">
        <v>54</v>
      </c>
      <c r="D6298" s="3">
        <v>-1.5263325000000001</v>
      </c>
      <c r="E6298" s="1">
        <v>1.3368984E-2</v>
      </c>
      <c r="F6298" s="2">
        <v>0.14520775999999999</v>
      </c>
    </row>
    <row r="6299" spans="1:6" x14ac:dyDescent="0.25">
      <c r="A6299" t="s">
        <v>10</v>
      </c>
      <c r="B6299" s="5" t="str">
        <f>HYPERLINK("http://www.broadinstitute.org/gsea/msigdb/cards/REACTOME_ASYMMETRIC_LOCALIZATION_OF_PCP_PROTEINS.html","REACTOME_ASYMMETRIC_LOCALIZATION_OF_PCP_PROTEINS")</f>
        <v>REACTOME_ASYMMETRIC_LOCALIZATION_OF_PCP_PROTEINS</v>
      </c>
      <c r="C6299" s="4">
        <v>61</v>
      </c>
      <c r="D6299" s="3">
        <v>-1.5263393000000001</v>
      </c>
      <c r="E6299" s="1">
        <v>1.8276761999999998E-2</v>
      </c>
      <c r="F6299" s="2">
        <v>0.14564921</v>
      </c>
    </row>
    <row r="6300" spans="1:6" x14ac:dyDescent="0.25">
      <c r="A6300" t="s">
        <v>10</v>
      </c>
      <c r="B6300" s="5" t="str">
        <f>HYPERLINK("http://www.broadinstitute.org/gsea/msigdb/cards/REACTOME_FORMATION_OF_THE_EARLY_ELONGATION_COMPLEX.html","REACTOME_FORMATION_OF_THE_EARLY_ELONGATION_COMPLEX")</f>
        <v>REACTOME_FORMATION_OF_THE_EARLY_ELONGATION_COMPLEX</v>
      </c>
      <c r="C6300" s="4">
        <v>32</v>
      </c>
      <c r="D6300" s="3">
        <v>-1.5279832</v>
      </c>
      <c r="E6300" s="1">
        <v>2.0356234000000001E-2</v>
      </c>
      <c r="F6300" s="2">
        <v>0.14452060999999999</v>
      </c>
    </row>
    <row r="6301" spans="1:6" x14ac:dyDescent="0.25">
      <c r="A6301" t="s">
        <v>6</v>
      </c>
      <c r="B6301" s="5" t="str">
        <f>HYPERLINK("http://www.broadinstitute.org/gsea/msigdb/cards/GOBP_LACTATE_METABOLIC_PROCESS.html","GOBP_LACTATE_METABOLIC_PROCESS")</f>
        <v>GOBP_LACTATE_METABOLIC_PROCESS</v>
      </c>
      <c r="C6301" s="4">
        <v>21</v>
      </c>
      <c r="D6301" s="3">
        <v>-1.5308131</v>
      </c>
      <c r="E6301" s="1">
        <v>4.4776120000000003E-2</v>
      </c>
      <c r="F6301" s="2">
        <v>0.14207600000000001</v>
      </c>
    </row>
    <row r="6302" spans="1:6" x14ac:dyDescent="0.25">
      <c r="A6302" t="s">
        <v>6</v>
      </c>
      <c r="B6302" s="5" t="str">
        <f>HYPERLINK("http://www.broadinstitute.org/gsea/msigdb/cards/GOBP_TAIL_ANCHORED_MEMBRANE_PROTEIN_INSERTION_INTO_ER_MEMBRANE.html","GOBP_TAIL_ANCHORED_MEMBRANE_PROTEIN_INSERTION_INTO_ER_MEMBRANE")</f>
        <v>GOBP_TAIL_ANCHORED_MEMBRANE_PROTEIN_INSERTION_INTO_ER_MEMBRANE</v>
      </c>
      <c r="C6302" s="4">
        <v>16</v>
      </c>
      <c r="D6302" s="3">
        <v>-1.5311836999999999</v>
      </c>
      <c r="E6302" s="1">
        <v>5.7553960000000001E-2</v>
      </c>
      <c r="F6302" s="2">
        <v>0.14211902000000001</v>
      </c>
    </row>
    <row r="6303" spans="1:6" x14ac:dyDescent="0.25">
      <c r="A6303" t="s">
        <v>7</v>
      </c>
      <c r="B6303" s="5" t="str">
        <f>HYPERLINK("http://www.broadinstitute.org/gsea/msigdb/cards/GOCC_RNA_POLYMERASE_II_HOLOENZYME.html","GOCC_RNA_POLYMERASE_II_HOLOENZYME")</f>
        <v>GOCC_RNA_POLYMERASE_II_HOLOENZYME</v>
      </c>
      <c r="C6303" s="4">
        <v>68</v>
      </c>
      <c r="D6303" s="3">
        <v>-1.5325158999999999</v>
      </c>
      <c r="E6303" s="1">
        <v>1.4245015E-2</v>
      </c>
      <c r="F6303" s="2">
        <v>0.14129236000000001</v>
      </c>
    </row>
    <row r="6304" spans="1:6" x14ac:dyDescent="0.25">
      <c r="A6304" t="s">
        <v>6</v>
      </c>
      <c r="B6304" s="5" t="str">
        <f>HYPERLINK("http://www.broadinstitute.org/gsea/msigdb/cards/GOBP_N_TERMINAL_PROTEIN_AMINO_ACID_ACETYLATION.html","GOBP_N_TERMINAL_PROTEIN_AMINO_ACID_ACETYLATION")</f>
        <v>GOBP_N_TERMINAL_PROTEIN_AMINO_ACID_ACETYLATION</v>
      </c>
      <c r="C6304" s="4">
        <v>16</v>
      </c>
      <c r="D6304" s="3">
        <v>-1.5334623999999999</v>
      </c>
      <c r="E6304" s="1">
        <v>4.0723982999999998E-2</v>
      </c>
      <c r="F6304" s="2">
        <v>0.14076072000000001</v>
      </c>
    </row>
    <row r="6305" spans="1:6" x14ac:dyDescent="0.25">
      <c r="A6305" t="s">
        <v>8</v>
      </c>
      <c r="B6305" s="5" t="str">
        <f>HYPERLINK("http://www.broadinstitute.org/gsea/msigdb/cards/GOMF_MRNA_BINDING.html","GOMF_MRNA_BINDING")</f>
        <v>GOMF_MRNA_BINDING</v>
      </c>
      <c r="C6305" s="4">
        <v>317</v>
      </c>
      <c r="D6305" s="3">
        <v>-1.5339316999999999</v>
      </c>
      <c r="E6305" s="1">
        <v>0</v>
      </c>
      <c r="F6305" s="2">
        <v>0.14072461</v>
      </c>
    </row>
    <row r="6306" spans="1:6" x14ac:dyDescent="0.25">
      <c r="A6306" t="s">
        <v>6</v>
      </c>
      <c r="B6306" s="5" t="str">
        <f>HYPERLINK("http://www.broadinstitute.org/gsea/msigdb/cards/GOBP_RIBOSOME_ASSEMBLY.html","GOBP_RIBOSOME_ASSEMBLY")</f>
        <v>GOBP_RIBOSOME_ASSEMBLY</v>
      </c>
      <c r="C6306" s="4">
        <v>63</v>
      </c>
      <c r="D6306" s="3">
        <v>-1.5357107999999999</v>
      </c>
      <c r="E6306" s="1">
        <v>2.4456520999999998E-2</v>
      </c>
      <c r="F6306" s="2">
        <v>0.13938018999999999</v>
      </c>
    </row>
    <row r="6307" spans="1:6" x14ac:dyDescent="0.25">
      <c r="A6307" t="s">
        <v>7</v>
      </c>
      <c r="B6307" s="5" t="str">
        <f>HYPERLINK("http://www.broadinstitute.org/gsea/msigdb/cards/GOCC_NUCLEAR_SPECK.html","GOCC_NUCLEAR_SPECK")</f>
        <v>GOCC_NUCLEAR_SPECK</v>
      </c>
      <c r="C6307" s="4">
        <v>336</v>
      </c>
      <c r="D6307" s="3">
        <v>-1.5363351999999999</v>
      </c>
      <c r="E6307" s="1">
        <v>0</v>
      </c>
      <c r="F6307" s="2">
        <v>0.13919722000000001</v>
      </c>
    </row>
    <row r="6308" spans="1:6" x14ac:dyDescent="0.25">
      <c r="A6308" t="s">
        <v>6</v>
      </c>
      <c r="B6308" s="5" t="str">
        <f>HYPERLINK("http://www.broadinstitute.org/gsea/msigdb/cards/GOBP_NEGATIVE_REGULATION_OF_MUSCLE_TISSUE_DEVELOPMENT.html","GOBP_NEGATIVE_REGULATION_OF_MUSCLE_TISSUE_DEVELOPMENT")</f>
        <v>GOBP_NEGATIVE_REGULATION_OF_MUSCLE_TISSUE_DEVELOPMENT</v>
      </c>
      <c r="C6308" s="4">
        <v>19</v>
      </c>
      <c r="D6308" s="3">
        <v>-1.5368221</v>
      </c>
      <c r="E6308" s="1">
        <v>3.3175357000000003E-2</v>
      </c>
      <c r="F6308" s="2">
        <v>0.13918791999999999</v>
      </c>
    </row>
    <row r="6309" spans="1:6" x14ac:dyDescent="0.25">
      <c r="A6309" t="s">
        <v>11</v>
      </c>
      <c r="B6309" s="5" t="str">
        <f>HYPERLINK("http://www.broadinstitute.org/gsea/msigdb/cards/WP_WHITE_FAT_CELL_DIFFERENTIATION.html","WP_WHITE_FAT_CELL_DIFFERENTIATION")</f>
        <v>WP_WHITE_FAT_CELL_DIFFERENTIATION</v>
      </c>
      <c r="C6309" s="4">
        <v>31</v>
      </c>
      <c r="D6309" s="3">
        <v>-1.5379982999999999</v>
      </c>
      <c r="E6309" s="1">
        <v>2.3136246999999999E-2</v>
      </c>
      <c r="F6309" s="2">
        <v>0.13847493999999999</v>
      </c>
    </row>
    <row r="6310" spans="1:6" x14ac:dyDescent="0.25">
      <c r="A6310" t="s">
        <v>8</v>
      </c>
      <c r="B6310" s="5" t="str">
        <f>HYPERLINK("http://www.broadinstitute.org/gsea/msigdb/cards/GOMF_SINGLE_STRANDED_DNA_BINDING.html","GOMF_SINGLE_STRANDED_DNA_BINDING")</f>
        <v>GOMF_SINGLE_STRANDED_DNA_BINDING</v>
      </c>
      <c r="C6310" s="4">
        <v>119</v>
      </c>
      <c r="D6310" s="3">
        <v>-1.5389790000000001</v>
      </c>
      <c r="E6310" s="1">
        <v>3.0581039999999999E-3</v>
      </c>
      <c r="F6310" s="2">
        <v>0.13791205000000001</v>
      </c>
    </row>
    <row r="6311" spans="1:6" x14ac:dyDescent="0.25">
      <c r="A6311" t="s">
        <v>11</v>
      </c>
      <c r="B6311" s="5" t="str">
        <f>HYPERLINK("http://www.broadinstitute.org/gsea/msigdb/cards/WP_PROTEASOME_DEGRADATION.html","WP_PROTEASOME_DEGRADATION")</f>
        <v>WP_PROTEASOME_DEGRADATION</v>
      </c>
      <c r="C6311" s="4">
        <v>51</v>
      </c>
      <c r="D6311" s="3">
        <v>-1.5392558999999999</v>
      </c>
      <c r="E6311" s="1">
        <v>1.1494252999999999E-2</v>
      </c>
      <c r="F6311" s="2">
        <v>0.13812152999999999</v>
      </c>
    </row>
    <row r="6312" spans="1:6" x14ac:dyDescent="0.25">
      <c r="A6312" t="s">
        <v>6</v>
      </c>
      <c r="B6312" s="5" t="str">
        <f>HYPERLINK("http://www.broadinstitute.org/gsea/msigdb/cards/GOBP_CARDIAC_MUSCLE_ADAPTATION.html","GOBP_CARDIAC_MUSCLE_ADAPTATION")</f>
        <v>GOBP_CARDIAC_MUSCLE_ADAPTATION</v>
      </c>
      <c r="C6312" s="4">
        <v>30</v>
      </c>
      <c r="D6312" s="3">
        <v>-1.5402857000000001</v>
      </c>
      <c r="E6312" s="1">
        <v>3.2863848000000001E-2</v>
      </c>
      <c r="F6312" s="2">
        <v>0.13755423999999999</v>
      </c>
    </row>
    <row r="6313" spans="1:6" x14ac:dyDescent="0.25">
      <c r="A6313" t="s">
        <v>6</v>
      </c>
      <c r="B6313" s="5" t="str">
        <f>HYPERLINK("http://www.broadinstitute.org/gsea/msigdb/cards/GOBP_REGULATION_OF_EPIDERMIS_DEVELOPMENT.html","GOBP_REGULATION_OF_EPIDERMIS_DEVELOPMENT")</f>
        <v>GOBP_REGULATION_OF_EPIDERMIS_DEVELOPMENT</v>
      </c>
      <c r="C6313" s="4">
        <v>63</v>
      </c>
      <c r="D6313" s="3">
        <v>-1.540546</v>
      </c>
      <c r="E6313" s="1">
        <v>1.6304348E-2</v>
      </c>
      <c r="F6313" s="2">
        <v>0.13773647</v>
      </c>
    </row>
    <row r="6314" spans="1:6" x14ac:dyDescent="0.25">
      <c r="A6314" t="s">
        <v>6</v>
      </c>
      <c r="B6314" s="5" t="str">
        <f>HYPERLINK("http://www.broadinstitute.org/gsea/msigdb/cards/GOBP_PITUITARY_GLAND_DEVELOPMENT.html","GOBP_PITUITARY_GLAND_DEVELOPMENT")</f>
        <v>GOBP_PITUITARY_GLAND_DEVELOPMENT</v>
      </c>
      <c r="C6314" s="4">
        <v>39</v>
      </c>
      <c r="D6314" s="3">
        <v>-1.5406168</v>
      </c>
      <c r="E6314" s="1">
        <v>1.3020833000000001E-2</v>
      </c>
      <c r="F6314" s="2">
        <v>0.13811976000000001</v>
      </c>
    </row>
    <row r="6315" spans="1:6" x14ac:dyDescent="0.25">
      <c r="A6315" t="s">
        <v>6</v>
      </c>
      <c r="B6315" s="5" t="str">
        <f>HYPERLINK("http://www.broadinstitute.org/gsea/msigdb/cards/GOBP_CELL_FATE_SPECIFICATION.html","GOBP_CELL_FATE_SPECIFICATION")</f>
        <v>GOBP_CELL_FATE_SPECIFICATION</v>
      </c>
      <c r="C6315" s="4">
        <v>114</v>
      </c>
      <c r="D6315" s="3">
        <v>-1.5410831</v>
      </c>
      <c r="E6315" s="1">
        <v>2.9585800000000002E-3</v>
      </c>
      <c r="F6315" s="2">
        <v>0.13809888000000001</v>
      </c>
    </row>
    <row r="6316" spans="1:6" x14ac:dyDescent="0.25">
      <c r="A6316" t="s">
        <v>6</v>
      </c>
      <c r="B6316" s="5" t="str">
        <f>HYPERLINK("http://www.broadinstitute.org/gsea/msigdb/cards/GOBP_STRIATED_MUSCLE_CONTRACTION.html","GOBP_STRIATED_MUSCLE_CONTRACTION")</f>
        <v>GOBP_STRIATED_MUSCLE_CONTRACTION</v>
      </c>
      <c r="C6316" s="4">
        <v>173</v>
      </c>
      <c r="D6316" s="3">
        <v>-1.5441640000000001</v>
      </c>
      <c r="E6316" s="1">
        <v>3.3222590000000001E-3</v>
      </c>
      <c r="F6316" s="2">
        <v>0.13556165000000001</v>
      </c>
    </row>
    <row r="6317" spans="1:6" x14ac:dyDescent="0.25">
      <c r="A6317" t="s">
        <v>10</v>
      </c>
      <c r="B6317" s="5" t="str">
        <f>HYPERLINK("http://www.broadinstitute.org/gsea/msigdb/cards/REACTOME_CONDENSATION_OF_PROPHASE_CHROMOSOMES.html","REACTOME_CONDENSATION_OF_PROPHASE_CHROMOSOMES")</f>
        <v>REACTOME_CONDENSATION_OF_PROPHASE_CHROMOSOMES</v>
      </c>
      <c r="C6317" s="4">
        <v>54</v>
      </c>
      <c r="D6317" s="3">
        <v>-1.5441909</v>
      </c>
      <c r="E6317" s="1">
        <v>1.7676766999999999E-2</v>
      </c>
      <c r="F6317" s="2">
        <v>0.13597513999999999</v>
      </c>
    </row>
    <row r="6318" spans="1:6" x14ac:dyDescent="0.25">
      <c r="A6318" t="s">
        <v>6</v>
      </c>
      <c r="B6318" s="5" t="str">
        <f>HYPERLINK("http://www.broadinstitute.org/gsea/msigdb/cards/GOBP_MICROTUBULE_BASED_PROTEIN_TRANSPORT.html","GOBP_MICROTUBULE_BASED_PROTEIN_TRANSPORT")</f>
        <v>GOBP_MICROTUBULE_BASED_PROTEIN_TRANSPORT</v>
      </c>
      <c r="C6318" s="4">
        <v>16</v>
      </c>
      <c r="D6318" s="3">
        <v>-1.54721</v>
      </c>
      <c r="E6318" s="1">
        <v>3.0952381000000001E-2</v>
      </c>
      <c r="F6318" s="2">
        <v>0.13346073</v>
      </c>
    </row>
    <row r="6319" spans="1:6" x14ac:dyDescent="0.25">
      <c r="A6319" t="s">
        <v>8</v>
      </c>
      <c r="B6319" s="5" t="str">
        <f>HYPERLINK("http://www.broadinstitute.org/gsea/msigdb/cards/GOMF_PRE_MRNA_BINDING.html","GOMF_PRE_MRNA_BINDING")</f>
        <v>GOMF_PRE_MRNA_BINDING</v>
      </c>
      <c r="C6319" s="4">
        <v>37</v>
      </c>
      <c r="D6319" s="3">
        <v>-1.5473653999999999</v>
      </c>
      <c r="E6319" s="1">
        <v>1.9753086999999999E-2</v>
      </c>
      <c r="F6319" s="2">
        <v>0.13376278</v>
      </c>
    </row>
    <row r="6320" spans="1:6" x14ac:dyDescent="0.25">
      <c r="A6320" t="s">
        <v>6</v>
      </c>
      <c r="B6320" s="5" t="str">
        <f>HYPERLINK("http://www.broadinstitute.org/gsea/msigdb/cards/GOBP_REGULATION_OF_DNA_REPAIR.html","GOBP_REGULATION_OF_DNA_REPAIR")</f>
        <v>GOBP_REGULATION_OF_DNA_REPAIR</v>
      </c>
      <c r="C6320" s="4">
        <v>210</v>
      </c>
      <c r="D6320" s="3">
        <v>-1.5480943</v>
      </c>
      <c r="E6320" s="1">
        <v>0</v>
      </c>
      <c r="F6320" s="2">
        <v>0.13347222</v>
      </c>
    </row>
    <row r="6321" spans="1:6" x14ac:dyDescent="0.25">
      <c r="A6321" t="s">
        <v>8</v>
      </c>
      <c r="B6321" s="5" t="str">
        <f>HYPERLINK("http://www.broadinstitute.org/gsea/msigdb/cards/GOMF_STRUCTURAL_CONSTITUENT_OF_CHROMATIN.html","GOMF_STRUCTURAL_CONSTITUENT_OF_CHROMATIN")</f>
        <v>GOMF_STRUCTURAL_CONSTITUENT_OF_CHROMATIN</v>
      </c>
      <c r="C6321" s="4">
        <v>46</v>
      </c>
      <c r="D6321" s="3">
        <v>-1.5482062999999999</v>
      </c>
      <c r="E6321" s="1">
        <v>1.5306123E-2</v>
      </c>
      <c r="F6321" s="2">
        <v>0.13379340000000001</v>
      </c>
    </row>
    <row r="6322" spans="1:6" x14ac:dyDescent="0.25">
      <c r="A6322" t="s">
        <v>6</v>
      </c>
      <c r="B6322" s="5" t="str">
        <f>HYPERLINK("http://www.broadinstitute.org/gsea/msigdb/cards/GOBP_MESENCHYMAL_CELL_PROLIFERATION.html","GOBP_MESENCHYMAL_CELL_PROLIFERATION")</f>
        <v>GOBP_MESENCHYMAL_CELL_PROLIFERATION</v>
      </c>
      <c r="C6322" s="4">
        <v>56</v>
      </c>
      <c r="D6322" s="3">
        <v>-1.5495253</v>
      </c>
      <c r="E6322" s="1">
        <v>8.3102490000000005E-3</v>
      </c>
      <c r="F6322" s="2">
        <v>0.13303519999999999</v>
      </c>
    </row>
    <row r="6323" spans="1:6" x14ac:dyDescent="0.25">
      <c r="A6323" t="s">
        <v>7</v>
      </c>
      <c r="B6323" s="5" t="str">
        <f>HYPERLINK("http://www.broadinstitute.org/gsea/msigdb/cards/GOCC_CATALYTIC_STEP_2_SPLICEOSOME.html","GOCC_CATALYTIC_STEP_2_SPLICEOSOME")</f>
        <v>GOCC_CATALYTIC_STEP_2_SPLICEOSOME</v>
      </c>
      <c r="C6323" s="4">
        <v>90</v>
      </c>
      <c r="D6323" s="3">
        <v>-1.5500046000000001</v>
      </c>
      <c r="E6323" s="1">
        <v>5.4794520000000001E-3</v>
      </c>
      <c r="F6323" s="2">
        <v>0.13305104000000001</v>
      </c>
    </row>
    <row r="6324" spans="1:6" x14ac:dyDescent="0.25">
      <c r="A6324" t="s">
        <v>7</v>
      </c>
      <c r="B6324" s="5" t="str">
        <f>HYPERLINK("http://www.broadinstitute.org/gsea/msigdb/cards/GOCC_POSTSYNAPTIC_SPECIALIZATION_MEMBRANE.html","GOCC_POSTSYNAPTIC_SPECIALIZATION_MEMBRANE")</f>
        <v>GOCC_POSTSYNAPTIC_SPECIALIZATION_MEMBRANE</v>
      </c>
      <c r="C6324" s="4">
        <v>151</v>
      </c>
      <c r="D6324" s="3">
        <v>-1.5518711999999999</v>
      </c>
      <c r="E6324" s="1">
        <v>0</v>
      </c>
      <c r="F6324" s="2">
        <v>0.13158764000000001</v>
      </c>
    </row>
    <row r="6325" spans="1:6" x14ac:dyDescent="0.25">
      <c r="A6325" t="s">
        <v>10</v>
      </c>
      <c r="B6325" s="5" t="str">
        <f>HYPERLINK("http://www.broadinstitute.org/gsea/msigdb/cards/REACTOME_RUNX1_REGULATES_GENES_INVOLVED_IN_MEGAKARYOCYTE_DIFFERENTIATION_AND_PLATELET_FUNCTION.html","REACTOME_RUNX1_REGULATES_GENES_INVOLVED_IN_MEGAKARYOCYTE_DIFFERENTIATION_AND_PLATELET_FUNCTION")</f>
        <v>REACTOME_RUNX1_REGULATES_GENES_INVOLVED_IN_MEGAKARYOCYTE_DIFFERENTIATION_AND_PLATELET_FUNCTION</v>
      </c>
      <c r="C6325" s="4">
        <v>74</v>
      </c>
      <c r="D6325" s="3">
        <v>-1.5535249</v>
      </c>
      <c r="E6325" s="1">
        <v>8.8495575000000007E-3</v>
      </c>
      <c r="F6325" s="2">
        <v>0.1303619</v>
      </c>
    </row>
    <row r="6326" spans="1:6" x14ac:dyDescent="0.25">
      <c r="A6326" t="s">
        <v>8</v>
      </c>
      <c r="B6326" s="5" t="str">
        <f>HYPERLINK("http://www.broadinstitute.org/gsea/msigdb/cards/GOMF_METHYLATION_DEPENDENT_PROTEIN_BINDING.html","GOMF_METHYLATION_DEPENDENT_PROTEIN_BINDING")</f>
        <v>GOMF_METHYLATION_DEPENDENT_PROTEIN_BINDING</v>
      </c>
      <c r="C6326" s="4">
        <v>75</v>
      </c>
      <c r="D6326" s="3">
        <v>-1.5557125999999999</v>
      </c>
      <c r="E6326" s="1">
        <v>0</v>
      </c>
      <c r="F6326" s="2">
        <v>0.12882134000000001</v>
      </c>
    </row>
    <row r="6327" spans="1:6" x14ac:dyDescent="0.25">
      <c r="A6327" t="s">
        <v>8</v>
      </c>
      <c r="B6327" s="5" t="str">
        <f>HYPERLINK("http://www.broadinstitute.org/gsea/msigdb/cards/GOMF_GLUTATHIONE_BINDING.html","GOMF_GLUTATHIONE_BINDING")</f>
        <v>GOMF_GLUTATHIONE_BINDING</v>
      </c>
      <c r="C6327" s="4">
        <v>18</v>
      </c>
      <c r="D6327" s="3">
        <v>-1.5557494000000001</v>
      </c>
      <c r="E6327" s="1">
        <v>3.4013607000000001E-2</v>
      </c>
      <c r="F6327" s="2">
        <v>0.12921717999999999</v>
      </c>
    </row>
    <row r="6328" spans="1:6" x14ac:dyDescent="0.25">
      <c r="A6328" t="s">
        <v>10</v>
      </c>
      <c r="B6328" s="5" t="str">
        <f>HYPERLINK("http://www.broadinstitute.org/gsea/msigdb/cards/REACTOME_RUNX1_REGULATES_TRANSCRIPTION_OF_GENES_INVOLVED_IN_DIFFERENTIATION_OF_HSCS.html","REACTOME_RUNX1_REGULATES_TRANSCRIPTION_OF_GENES_INVOLVED_IN_DIFFERENTIATION_OF_HSCS")</f>
        <v>REACTOME_RUNX1_REGULATES_TRANSCRIPTION_OF_GENES_INVOLVED_IN_DIFFERENTIATION_OF_HSCS</v>
      </c>
      <c r="C6328" s="4">
        <v>66</v>
      </c>
      <c r="D6328" s="3">
        <v>-1.5573553</v>
      </c>
      <c r="E6328" s="1">
        <v>5.4644806999999997E-3</v>
      </c>
      <c r="F6328" s="2">
        <v>0.12816649999999999</v>
      </c>
    </row>
    <row r="6329" spans="1:6" x14ac:dyDescent="0.25">
      <c r="A6329" t="s">
        <v>8</v>
      </c>
      <c r="B6329" s="5" t="str">
        <f>HYPERLINK("http://www.broadinstitute.org/gsea/msigdb/cards/GOMF_TRANSCRIPTION_COREPRESSOR_ACTIVITY.html","GOMF_TRANSCRIPTION_COREPRESSOR_ACTIVITY")</f>
        <v>GOMF_TRANSCRIPTION_COREPRESSOR_ACTIVITY</v>
      </c>
      <c r="C6329" s="4">
        <v>186</v>
      </c>
      <c r="D6329" s="3">
        <v>-1.5574771999999999</v>
      </c>
      <c r="E6329" s="1">
        <v>0</v>
      </c>
      <c r="F6329" s="2">
        <v>0.12850471999999999</v>
      </c>
    </row>
    <row r="6330" spans="1:6" x14ac:dyDescent="0.25">
      <c r="A6330" t="s">
        <v>10</v>
      </c>
      <c r="B6330" s="5" t="str">
        <f>HYPERLINK("http://www.broadinstitute.org/gsea/msigdb/cards/REACTOME_ACTIVATION_OF_APC_C_AND_APC_C_CDC20_MEDIATED_DEGRADATION_OF_MITOTIC_PROTEINS.html","REACTOME_ACTIVATION_OF_APC_C_AND_APC_C_CDC20_MEDIATED_DEGRADATION_OF_MITOTIC_PROTEINS")</f>
        <v>REACTOME_ACTIVATION_OF_APC_C_AND_APC_C_CDC20_MEDIATED_DEGRADATION_OF_MITOTIC_PROTEINS</v>
      </c>
      <c r="C6330" s="4">
        <v>76</v>
      </c>
      <c r="D6330" s="3">
        <v>-1.5614747</v>
      </c>
      <c r="E6330" s="1">
        <v>8.1967210000000006E-3</v>
      </c>
      <c r="F6330" s="2">
        <v>0.12537300000000001</v>
      </c>
    </row>
    <row r="6331" spans="1:6" x14ac:dyDescent="0.25">
      <c r="A6331" t="s">
        <v>6</v>
      </c>
      <c r="B6331" s="5" t="str">
        <f>HYPERLINK("http://www.broadinstitute.org/gsea/msigdb/cards/GOBP_HINDLIMB_MORPHOGENESIS.html","GOBP_HINDLIMB_MORPHOGENESIS")</f>
        <v>GOBP_HINDLIMB_MORPHOGENESIS</v>
      </c>
      <c r="C6331" s="4">
        <v>46</v>
      </c>
      <c r="D6331" s="3">
        <v>-1.5618072000000001</v>
      </c>
      <c r="E6331" s="1">
        <v>2.0618556E-2</v>
      </c>
      <c r="F6331" s="2">
        <v>0.12545413999999999</v>
      </c>
    </row>
    <row r="6332" spans="1:6" x14ac:dyDescent="0.25">
      <c r="A6332" t="s">
        <v>6</v>
      </c>
      <c r="B6332" s="5" t="str">
        <f>HYPERLINK("http://www.broadinstitute.org/gsea/msigdb/cards/GOBP_REGULATION_OF_MRNA_METABOLIC_PROCESS.html","GOBP_REGULATION_OF_MRNA_METABOLIC_PROCESS")</f>
        <v>GOBP_REGULATION_OF_MRNA_METABOLIC_PROCESS</v>
      </c>
      <c r="C6332" s="4">
        <v>282</v>
      </c>
      <c r="D6332" s="3">
        <v>-1.5618984</v>
      </c>
      <c r="E6332" s="1">
        <v>0</v>
      </c>
      <c r="F6332" s="2">
        <v>0.12578956999999999</v>
      </c>
    </row>
    <row r="6333" spans="1:6" x14ac:dyDescent="0.25">
      <c r="A6333" t="s">
        <v>6</v>
      </c>
      <c r="B6333" s="5" t="str">
        <f>HYPERLINK("http://www.broadinstitute.org/gsea/msigdb/cards/GOBP_NUCLEOSOME_ASSEMBLY.html","GOBP_NUCLEOSOME_ASSEMBLY")</f>
        <v>GOBP_NUCLEOSOME_ASSEMBLY</v>
      </c>
      <c r="C6333" s="4">
        <v>67</v>
      </c>
      <c r="D6333" s="3">
        <v>-1.5637650000000001</v>
      </c>
      <c r="E6333" s="1">
        <v>0</v>
      </c>
      <c r="F6333" s="2">
        <v>0.12451402</v>
      </c>
    </row>
    <row r="6334" spans="1:6" x14ac:dyDescent="0.25">
      <c r="A6334" t="s">
        <v>10</v>
      </c>
      <c r="B6334" s="5" t="str">
        <f>HYPERLINK("http://www.broadinstitute.org/gsea/msigdb/cards/REACTOME_PTEN_REGULATION.html","REACTOME_PTEN_REGULATION")</f>
        <v>REACTOME_PTEN_REGULATION</v>
      </c>
      <c r="C6334" s="4">
        <v>112</v>
      </c>
      <c r="D6334" s="3">
        <v>-1.5650592999999999</v>
      </c>
      <c r="E6334" s="1">
        <v>3.1446540000000002E-3</v>
      </c>
      <c r="F6334" s="2">
        <v>0.12371597400000001</v>
      </c>
    </row>
    <row r="6335" spans="1:6" x14ac:dyDescent="0.25">
      <c r="A6335" t="s">
        <v>10</v>
      </c>
      <c r="B6335" s="5" t="str">
        <f>HYPERLINK("http://www.broadinstitute.org/gsea/msigdb/cards/REACTOME_MAPK6_MAPK4_SIGNALING.html","REACTOME_MAPK6_MAPK4_SIGNALING")</f>
        <v>REACTOME_MAPK6_MAPK4_SIGNALING</v>
      </c>
      <c r="C6335" s="4">
        <v>73</v>
      </c>
      <c r="D6335" s="3">
        <v>-1.5661288</v>
      </c>
      <c r="E6335" s="1">
        <v>2.7855152999999998E-3</v>
      </c>
      <c r="F6335" s="2">
        <v>0.12303657</v>
      </c>
    </row>
    <row r="6336" spans="1:6" x14ac:dyDescent="0.25">
      <c r="A6336" t="s">
        <v>6</v>
      </c>
      <c r="B6336" s="5" t="str">
        <f>HYPERLINK("http://www.broadinstitute.org/gsea/msigdb/cards/GOBP_REGULATION_OF_SYNAPTIC_VESICLE_MEMBRANE_ORGANIZATION.html","GOBP_REGULATION_OF_SYNAPTIC_VESICLE_MEMBRANE_ORGANIZATION")</f>
        <v>GOBP_REGULATION_OF_SYNAPTIC_VESICLE_MEMBRANE_ORGANIZATION</v>
      </c>
      <c r="C6336" s="4">
        <v>19</v>
      </c>
      <c r="D6336" s="3">
        <v>-1.5661446999999999</v>
      </c>
      <c r="E6336" s="1">
        <v>4.5673076E-2</v>
      </c>
      <c r="F6336" s="2">
        <v>0.12344593</v>
      </c>
    </row>
    <row r="6337" spans="1:6" x14ac:dyDescent="0.25">
      <c r="A6337" t="s">
        <v>6</v>
      </c>
      <c r="B6337" s="5" t="str">
        <f>HYPERLINK("http://www.broadinstitute.org/gsea/msigdb/cards/GOBP_HEAD_MORPHOGENESIS.html","GOBP_HEAD_MORPHOGENESIS")</f>
        <v>GOBP_HEAD_MORPHOGENESIS</v>
      </c>
      <c r="C6337" s="4">
        <v>47</v>
      </c>
      <c r="D6337" s="3">
        <v>-1.5662681000000001</v>
      </c>
      <c r="E6337" s="1">
        <v>1.4705882E-2</v>
      </c>
      <c r="F6337" s="2">
        <v>0.12372647000000001</v>
      </c>
    </row>
    <row r="6338" spans="1:6" x14ac:dyDescent="0.25">
      <c r="A6338" t="s">
        <v>8</v>
      </c>
      <c r="B6338" s="5" t="str">
        <f>HYPERLINK("http://www.broadinstitute.org/gsea/msigdb/cards/GOMF_RNA_POLYMERASE_ACTIVITY.html","GOMF_RNA_POLYMERASE_ACTIVITY")</f>
        <v>GOMF_RNA_POLYMERASE_ACTIVITY</v>
      </c>
      <c r="C6338" s="4">
        <v>24</v>
      </c>
      <c r="D6338" s="3">
        <v>-1.5664359999999999</v>
      </c>
      <c r="E6338" s="1">
        <v>2.9411764999999999E-2</v>
      </c>
      <c r="F6338" s="2">
        <v>0.12401730599999999</v>
      </c>
    </row>
    <row r="6339" spans="1:6" x14ac:dyDescent="0.25">
      <c r="A6339" t="s">
        <v>8</v>
      </c>
      <c r="B6339" s="5" t="str">
        <f>HYPERLINK("http://www.broadinstitute.org/gsea/msigdb/cards/GOMF_ATP_DEPENDENT_CHROMATIN_REMODELER_ACTIVITY.html","GOMF_ATP_DEPENDENT_CHROMATIN_REMODELER_ACTIVITY")</f>
        <v>GOMF_ATP_DEPENDENT_CHROMATIN_REMODELER_ACTIVITY</v>
      </c>
      <c r="C6339" s="4">
        <v>34</v>
      </c>
      <c r="D6339" s="3">
        <v>-1.5710957000000001</v>
      </c>
      <c r="E6339" s="1">
        <v>2.0253165E-2</v>
      </c>
      <c r="F6339" s="2">
        <v>0.12016554</v>
      </c>
    </row>
    <row r="6340" spans="1:6" x14ac:dyDescent="0.25">
      <c r="A6340" t="s">
        <v>10</v>
      </c>
      <c r="B6340" s="5" t="str">
        <f>HYPERLINK("http://www.broadinstitute.org/gsea/msigdb/cards/REACTOME_HSP90_CHAPERONE_CYCLE_FOR_STEROID_HORMONE_RECEPTORS_SHR_IN_THE_PRESENCE_OF_LIGAND.html","REACTOME_HSP90_CHAPERONE_CYCLE_FOR_STEROID_HORMONE_RECEPTORS_SHR_IN_THE_PRESENCE_OF_LIGAND")</f>
        <v>REACTOME_HSP90_CHAPERONE_CYCLE_FOR_STEROID_HORMONE_RECEPTORS_SHR_IN_THE_PRESENCE_OF_LIGAND</v>
      </c>
      <c r="C6340" s="4">
        <v>51</v>
      </c>
      <c r="D6340" s="3">
        <v>-1.5711287</v>
      </c>
      <c r="E6340" s="1">
        <v>0</v>
      </c>
      <c r="F6340" s="2">
        <v>0.12057339</v>
      </c>
    </row>
    <row r="6341" spans="1:6" x14ac:dyDescent="0.25">
      <c r="A6341" t="s">
        <v>10</v>
      </c>
      <c r="B6341" s="5" t="str">
        <f>HYPERLINK("http://www.broadinstitute.org/gsea/msigdb/cards/REACTOME_DEGRADATION_OF_DVL.html","REACTOME_DEGRADATION_OF_DVL")</f>
        <v>REACTOME_DEGRADATION_OF_DVL</v>
      </c>
      <c r="C6341" s="4">
        <v>56</v>
      </c>
      <c r="D6341" s="3">
        <v>-1.5741533999999999</v>
      </c>
      <c r="E6341" s="1">
        <v>7.8328979999999996E-3</v>
      </c>
      <c r="F6341" s="2">
        <v>0.11843194</v>
      </c>
    </row>
    <row r="6342" spans="1:6" x14ac:dyDescent="0.25">
      <c r="A6342" t="s">
        <v>6</v>
      </c>
      <c r="B6342" s="5" t="str">
        <f>HYPERLINK("http://www.broadinstitute.org/gsea/msigdb/cards/GOBP_MAINTENANCE_OF_CELL_NUMBER.html","GOBP_MAINTENANCE_OF_CELL_NUMBER")</f>
        <v>GOBP_MAINTENANCE_OF_CELL_NUMBER</v>
      </c>
      <c r="C6342" s="4">
        <v>211</v>
      </c>
      <c r="D6342" s="3">
        <v>-1.5748068</v>
      </c>
      <c r="E6342" s="1">
        <v>0</v>
      </c>
      <c r="F6342" s="2">
        <v>0.11830246</v>
      </c>
    </row>
    <row r="6343" spans="1:6" x14ac:dyDescent="0.25">
      <c r="A6343" t="s">
        <v>6</v>
      </c>
      <c r="B6343" s="5" t="str">
        <f>HYPERLINK("http://www.broadinstitute.org/gsea/msigdb/cards/GOBP_NEGATIVE_REGULATION_OF_EPIDERMIS_DEVELOPMENT.html","GOBP_NEGATIVE_REGULATION_OF_EPIDERMIS_DEVELOPMENT")</f>
        <v>GOBP_NEGATIVE_REGULATION_OF_EPIDERMIS_DEVELOPMENT</v>
      </c>
      <c r="C6343" s="4">
        <v>16</v>
      </c>
      <c r="D6343" s="3">
        <v>-1.5775855999999999</v>
      </c>
      <c r="E6343" s="1">
        <v>3.6951499999999998E-2</v>
      </c>
      <c r="F6343" s="2">
        <v>0.1162285</v>
      </c>
    </row>
    <row r="6344" spans="1:6" x14ac:dyDescent="0.25">
      <c r="A6344" t="s">
        <v>6</v>
      </c>
      <c r="B6344" s="5" t="str">
        <f>HYPERLINK("http://www.broadinstitute.org/gsea/msigdb/cards/GOBP_MYOTUBE_CELL_DEVELOPMENT.html","GOBP_MYOTUBE_CELL_DEVELOPMENT")</f>
        <v>GOBP_MYOTUBE_CELL_DEVELOPMENT</v>
      </c>
      <c r="C6344" s="4">
        <v>47</v>
      </c>
      <c r="D6344" s="3">
        <v>-1.5781746000000001</v>
      </c>
      <c r="E6344" s="1">
        <v>1.1080332E-2</v>
      </c>
      <c r="F6344" s="2">
        <v>0.116191715</v>
      </c>
    </row>
    <row r="6345" spans="1:6" x14ac:dyDescent="0.25">
      <c r="A6345" t="s">
        <v>10</v>
      </c>
      <c r="B6345" s="5" t="str">
        <f>HYPERLINK("http://www.broadinstitute.org/gsea/msigdb/cards/REACTOME_CELLULAR_RESPONSE_TO_HYPOXIA.html","REACTOME_CELLULAR_RESPONSE_TO_HYPOXIA")</f>
        <v>REACTOME_CELLULAR_RESPONSE_TO_HYPOXIA</v>
      </c>
      <c r="C6345" s="4">
        <v>69</v>
      </c>
      <c r="D6345" s="3">
        <v>-1.5788631</v>
      </c>
      <c r="E6345" s="1">
        <v>1.0471204E-2</v>
      </c>
      <c r="F6345" s="2">
        <v>0.11598459999999999</v>
      </c>
    </row>
    <row r="6346" spans="1:6" x14ac:dyDescent="0.25">
      <c r="A6346" t="s">
        <v>6</v>
      </c>
      <c r="B6346" s="5" t="str">
        <f>HYPERLINK("http://www.broadinstitute.org/gsea/msigdb/cards/GOBP_LIMBIC_SYSTEM_DEVELOPMENT.html","GOBP_LIMBIC_SYSTEM_DEVELOPMENT")</f>
        <v>GOBP_LIMBIC_SYSTEM_DEVELOPMENT</v>
      </c>
      <c r="C6346" s="4">
        <v>112</v>
      </c>
      <c r="D6346" s="3">
        <v>-1.5807899999999999</v>
      </c>
      <c r="E6346" s="1">
        <v>0</v>
      </c>
      <c r="F6346" s="2">
        <v>0.11468281600000001</v>
      </c>
    </row>
    <row r="6347" spans="1:6" x14ac:dyDescent="0.25">
      <c r="A6347" t="s">
        <v>6</v>
      </c>
      <c r="B6347" s="5" t="str">
        <f>HYPERLINK("http://www.broadinstitute.org/gsea/msigdb/cards/GOBP_ESTABLISHMENT_OF_PROTEIN_LOCALIZATION_TO_TELOMERE.html","GOBP_ESTABLISHMENT_OF_PROTEIN_LOCALIZATION_TO_TELOMERE")</f>
        <v>GOBP_ESTABLISHMENT_OF_PROTEIN_LOCALIZATION_TO_TELOMERE</v>
      </c>
      <c r="C6347" s="4">
        <v>19</v>
      </c>
      <c r="D6347" s="3">
        <v>-1.5827705999999999</v>
      </c>
      <c r="E6347" s="1">
        <v>3.6945812000000001E-2</v>
      </c>
      <c r="F6347" s="2">
        <v>0.11336491</v>
      </c>
    </row>
    <row r="6348" spans="1:6" x14ac:dyDescent="0.25">
      <c r="A6348" t="s">
        <v>6</v>
      </c>
      <c r="B6348" s="5" t="str">
        <f>HYPERLINK("http://www.broadinstitute.org/gsea/msigdb/cards/GOBP_SKELETAL_MUSCLE_ORGAN_DEVELOPMENT.html","GOBP_SKELETAL_MUSCLE_ORGAN_DEVELOPMENT")</f>
        <v>GOBP_SKELETAL_MUSCLE_ORGAN_DEVELOPMENT</v>
      </c>
      <c r="C6348" s="4">
        <v>205</v>
      </c>
      <c r="D6348" s="3">
        <v>-1.5830392</v>
      </c>
      <c r="E6348" s="1">
        <v>0</v>
      </c>
      <c r="F6348" s="2">
        <v>0.113532156</v>
      </c>
    </row>
    <row r="6349" spans="1:6" x14ac:dyDescent="0.25">
      <c r="A6349" t="s">
        <v>6</v>
      </c>
      <c r="B6349" s="5" t="str">
        <f>HYPERLINK("http://www.broadinstitute.org/gsea/msigdb/cards/GOBP_NEURONAL_STEM_CELL_POPULATION_MAINTENANCE.html","GOBP_NEURONAL_STEM_CELL_POPULATION_MAINTENANCE")</f>
        <v>GOBP_NEURONAL_STEM_CELL_POPULATION_MAINTENANCE</v>
      </c>
      <c r="C6349" s="4">
        <v>25</v>
      </c>
      <c r="D6349" s="3">
        <v>-1.5854708</v>
      </c>
      <c r="E6349" s="1">
        <v>9.4562650000000002E-3</v>
      </c>
      <c r="F6349" s="2">
        <v>0.11178858</v>
      </c>
    </row>
    <row r="6350" spans="1:6" x14ac:dyDescent="0.25">
      <c r="A6350" t="s">
        <v>10</v>
      </c>
      <c r="B6350" s="5" t="str">
        <f>HYPERLINK("http://www.broadinstitute.org/gsea/msigdb/cards/REACTOME_TP53_REGULATES_METABOLIC_GENES.html","REACTOME_TP53_REGULATES_METABOLIC_GENES")</f>
        <v>REACTOME_TP53_REGULATES_METABOLIC_GENES</v>
      </c>
      <c r="C6350" s="4">
        <v>71</v>
      </c>
      <c r="D6350" s="3">
        <v>-1.5867211000000001</v>
      </c>
      <c r="E6350" s="1">
        <v>2.688172E-3</v>
      </c>
      <c r="F6350" s="2">
        <v>0.11117908999999999</v>
      </c>
    </row>
    <row r="6351" spans="1:6" x14ac:dyDescent="0.25">
      <c r="A6351" t="s">
        <v>6</v>
      </c>
      <c r="B6351" s="5" t="str">
        <f>HYPERLINK("http://www.broadinstitute.org/gsea/msigdb/cards/GOBP_RRNA_METABOLIC_PROCESS.html","GOBP_RRNA_METABOLIC_PROCESS")</f>
        <v>GOBP_RRNA_METABOLIC_PROCESS</v>
      </c>
      <c r="C6351" s="4">
        <v>241</v>
      </c>
      <c r="D6351" s="3">
        <v>-1.5877612999999999</v>
      </c>
      <c r="E6351" s="1">
        <v>0</v>
      </c>
      <c r="F6351" s="2">
        <v>0.11074439</v>
      </c>
    </row>
    <row r="6352" spans="1:6" x14ac:dyDescent="0.25">
      <c r="A6352" t="s">
        <v>10</v>
      </c>
      <c r="B6352" s="5" t="str">
        <f>HYPERLINK("http://www.broadinstitute.org/gsea/msigdb/cards/REACTOME_DEGRADATION_OF_BETA_CATENIN_BY_THE_DESTRUCTION_COMPLEX.html","REACTOME_DEGRADATION_OF_BETA_CATENIN_BY_THE_DESTRUCTION_COMPLEX")</f>
        <v>REACTOME_DEGRADATION_OF_BETA_CATENIN_BY_THE_DESTRUCTION_COMPLEX</v>
      </c>
      <c r="C6352" s="4">
        <v>79</v>
      </c>
      <c r="D6352" s="3">
        <v>-1.5882480999999999</v>
      </c>
      <c r="E6352" s="1">
        <v>0</v>
      </c>
      <c r="F6352" s="2">
        <v>0.110748656</v>
      </c>
    </row>
    <row r="6353" spans="1:6" x14ac:dyDescent="0.25">
      <c r="A6353" t="s">
        <v>9</v>
      </c>
      <c r="B6353" s="5" t="str">
        <f>HYPERLINK("http://www.broadinstitute.org/gsea/msigdb/cards/HALLMARK_DNA_REPAIR.html","HALLMARK_DNA_REPAIR")</f>
        <v>HALLMARK_DNA_REPAIR</v>
      </c>
      <c r="C6353" s="4">
        <v>148</v>
      </c>
      <c r="D6353" s="3">
        <v>-1.5882536</v>
      </c>
      <c r="E6353" s="1">
        <v>0</v>
      </c>
      <c r="F6353" s="2">
        <v>0.11115732</v>
      </c>
    </row>
    <row r="6354" spans="1:6" x14ac:dyDescent="0.25">
      <c r="A6354" t="s">
        <v>6</v>
      </c>
      <c r="B6354" s="5" t="str">
        <f>HYPERLINK("http://www.broadinstitute.org/gsea/msigdb/cards/GOBP_ANTERIOR_POSTERIOR_PATTERN_SPECIFICATION.html","GOBP_ANTERIOR_POSTERIOR_PATTERN_SPECIFICATION")</f>
        <v>GOBP_ANTERIOR_POSTERIOR_PATTERN_SPECIFICATION</v>
      </c>
      <c r="C6354" s="4">
        <v>235</v>
      </c>
      <c r="D6354" s="3">
        <v>-1.5903685000000001</v>
      </c>
      <c r="E6354" s="1">
        <v>0</v>
      </c>
      <c r="F6354" s="2">
        <v>0.10981515999999999</v>
      </c>
    </row>
    <row r="6355" spans="1:6" x14ac:dyDescent="0.25">
      <c r="A6355" t="s">
        <v>6</v>
      </c>
      <c r="B6355" s="5" t="str">
        <f>HYPERLINK("http://www.broadinstitute.org/gsea/msigdb/cards/GOBP_POSITIVE_REGULATION_OF_DOUBLE_STRAND_BREAK_REPAIR.html","GOBP_POSITIVE_REGULATION_OF_DOUBLE_STRAND_BREAK_REPAIR")</f>
        <v>GOBP_POSITIVE_REGULATION_OF_DOUBLE_STRAND_BREAK_REPAIR</v>
      </c>
      <c r="C6355" s="4">
        <v>85</v>
      </c>
      <c r="D6355" s="3">
        <v>-1.5909609</v>
      </c>
      <c r="E6355" s="1">
        <v>2.9325512999999999E-3</v>
      </c>
      <c r="F6355" s="2">
        <v>0.109759964</v>
      </c>
    </row>
    <row r="6356" spans="1:6" x14ac:dyDescent="0.25">
      <c r="A6356" t="s">
        <v>10</v>
      </c>
      <c r="B6356" s="5" t="str">
        <f>HYPERLINK("http://www.broadinstitute.org/gsea/msigdb/cards/REACTOME_DUAL_INCISION_IN_TC_NER.html","REACTOME_DUAL_INCISION_IN_TC_NER")</f>
        <v>REACTOME_DUAL_INCISION_IN_TC_NER</v>
      </c>
      <c r="C6356" s="4">
        <v>63</v>
      </c>
      <c r="D6356" s="3">
        <v>-1.5918608000000001</v>
      </c>
      <c r="E6356" s="1">
        <v>5.3333332999999997E-3</v>
      </c>
      <c r="F6356" s="2">
        <v>0.10944698999999999</v>
      </c>
    </row>
    <row r="6357" spans="1:6" x14ac:dyDescent="0.25">
      <c r="A6357" t="s">
        <v>10</v>
      </c>
      <c r="B6357" s="5" t="str">
        <f>HYPERLINK("http://www.broadinstitute.org/gsea/msigdb/cards/REACTOME_HSF1_DEPENDENT_TRANSACTIVATION.html","REACTOME_HSF1_DEPENDENT_TRANSACTIVATION")</f>
        <v>REACTOME_HSF1_DEPENDENT_TRANSACTIVATION</v>
      </c>
      <c r="C6357" s="4">
        <v>23</v>
      </c>
      <c r="D6357" s="3">
        <v>-1.5924057</v>
      </c>
      <c r="E6357" s="1">
        <v>1.6786572E-2</v>
      </c>
      <c r="F6357" s="2">
        <v>0.10940124</v>
      </c>
    </row>
    <row r="6358" spans="1:6" x14ac:dyDescent="0.25">
      <c r="A6358" t="s">
        <v>6</v>
      </c>
      <c r="B6358" s="5" t="str">
        <f>HYPERLINK("http://www.broadinstitute.org/gsea/msigdb/cards/GOBP_POSITIVE_REGULATION_OF_CHONDROCYTE_DIFFERENTIATION.html","GOBP_POSITIVE_REGULATION_OF_CHONDROCYTE_DIFFERENTIATION")</f>
        <v>GOBP_POSITIVE_REGULATION_OF_CHONDROCYTE_DIFFERENTIATION</v>
      </c>
      <c r="C6358" s="4">
        <v>22</v>
      </c>
      <c r="D6358" s="3">
        <v>-1.5931085</v>
      </c>
      <c r="E6358" s="1">
        <v>4.187192E-2</v>
      </c>
      <c r="F6358" s="2">
        <v>0.109365515</v>
      </c>
    </row>
    <row r="6359" spans="1:6" x14ac:dyDescent="0.25">
      <c r="A6359" t="s">
        <v>10</v>
      </c>
      <c r="B6359" s="5" t="str">
        <f>HYPERLINK("http://www.broadinstitute.org/gsea/msigdb/cards/REACTOME_SYNTHESIS_OF_ACTIVE_UBIQUITIN_ROLES_OF_E1_AND_E2_ENZYMES.html","REACTOME_SYNTHESIS_OF_ACTIVE_UBIQUITIN_ROLES_OF_E1_AND_E2_ENZYMES")</f>
        <v>REACTOME_SYNTHESIS_OF_ACTIVE_UBIQUITIN_ROLES_OF_E1_AND_E2_ENZYMES</v>
      </c>
      <c r="C6359" s="4">
        <v>30</v>
      </c>
      <c r="D6359" s="3">
        <v>-1.5931305</v>
      </c>
      <c r="E6359" s="1">
        <v>8.0428949999999996E-3</v>
      </c>
      <c r="F6359" s="2">
        <v>0.10977176600000001</v>
      </c>
    </row>
    <row r="6360" spans="1:6" x14ac:dyDescent="0.25">
      <c r="A6360" t="s">
        <v>6</v>
      </c>
      <c r="B6360" s="5" t="str">
        <f>HYPERLINK("http://www.broadinstitute.org/gsea/msigdb/cards/GOBP_ORGANISM_EMERGENCE_FROM_PROTECTIVE_STRUCTURE.html","GOBP_ORGANISM_EMERGENCE_FROM_PROTECTIVE_STRUCTURE")</f>
        <v>GOBP_ORGANISM_EMERGENCE_FROM_PROTECTIVE_STRUCTURE</v>
      </c>
      <c r="C6360" s="4">
        <v>37</v>
      </c>
      <c r="D6360" s="3">
        <v>-1.5985457000000001</v>
      </c>
      <c r="E6360" s="1">
        <v>1.5424165E-2</v>
      </c>
      <c r="F6360" s="2">
        <v>0.10582398</v>
      </c>
    </row>
    <row r="6361" spans="1:6" x14ac:dyDescent="0.25">
      <c r="A6361" t="s">
        <v>7</v>
      </c>
      <c r="B6361" s="5" t="str">
        <f>HYPERLINK("http://www.broadinstitute.org/gsea/msigdb/cards/GOCC_PROTEASOME_COMPLEX.html","GOCC_PROTEASOME_COMPLEX")</f>
        <v>GOCC_PROTEASOME_COMPLEX</v>
      </c>
      <c r="C6361" s="4">
        <v>64</v>
      </c>
      <c r="D6361" s="3">
        <v>-1.599208</v>
      </c>
      <c r="E6361" s="1">
        <v>1.0416666999999999E-2</v>
      </c>
      <c r="F6361" s="2">
        <v>0.10567415500000001</v>
      </c>
    </row>
    <row r="6362" spans="1:6" x14ac:dyDescent="0.25">
      <c r="A6362" t="s">
        <v>10</v>
      </c>
      <c r="B6362" s="5" t="str">
        <f>HYPERLINK("http://www.broadinstitute.org/gsea/msigdb/cards/REACTOME_FGFR2_ALTERNATIVE_SPLICING.html","REACTOME_FGFR2_ALTERNATIVE_SPLICING")</f>
        <v>REACTOME_FGFR2_ALTERNATIVE_SPLICING</v>
      </c>
      <c r="C6362" s="4">
        <v>17</v>
      </c>
      <c r="D6362" s="3">
        <v>-1.6018238</v>
      </c>
      <c r="E6362" s="1">
        <v>3.2786883000000003E-2</v>
      </c>
      <c r="F6362" s="2">
        <v>0.103907034</v>
      </c>
    </row>
    <row r="6363" spans="1:6" x14ac:dyDescent="0.25">
      <c r="A6363" t="s">
        <v>6</v>
      </c>
      <c r="B6363" s="5" t="str">
        <f>HYPERLINK("http://www.broadinstitute.org/gsea/msigdb/cards/GOBP_REGULATION_OF_INSULIN_LIKE_GROWTH_FACTOR_RECEPTOR_SIGNALING_PATHWAY.html","GOBP_REGULATION_OF_INSULIN_LIKE_GROWTH_FACTOR_RECEPTOR_SIGNALING_PATHWAY")</f>
        <v>GOBP_REGULATION_OF_INSULIN_LIKE_GROWTH_FACTOR_RECEPTOR_SIGNALING_PATHWAY</v>
      </c>
      <c r="C6363" s="4">
        <v>24</v>
      </c>
      <c r="D6363" s="3">
        <v>-1.6029457</v>
      </c>
      <c r="E6363" s="1">
        <v>1.7283949999999999E-2</v>
      </c>
      <c r="F6363" s="2">
        <v>0.10339007</v>
      </c>
    </row>
    <row r="6364" spans="1:6" x14ac:dyDescent="0.25">
      <c r="A6364" t="s">
        <v>6</v>
      </c>
      <c r="B6364" s="5" t="str">
        <f>HYPERLINK("http://www.broadinstitute.org/gsea/msigdb/cards/GOBP_NEGATIVE_REGULATION_OF_MRNA_PROCESSING.html","GOBP_NEGATIVE_REGULATION_OF_MRNA_PROCESSING")</f>
        <v>GOBP_NEGATIVE_REGULATION_OF_MRNA_PROCESSING</v>
      </c>
      <c r="C6364" s="4">
        <v>25</v>
      </c>
      <c r="D6364" s="3">
        <v>-1.6037383999999999</v>
      </c>
      <c r="E6364" s="1">
        <v>3.3980582000000002E-2</v>
      </c>
      <c r="F6364" s="2">
        <v>0.103124306</v>
      </c>
    </row>
    <row r="6365" spans="1:6" x14ac:dyDescent="0.25">
      <c r="A6365" t="s">
        <v>7</v>
      </c>
      <c r="B6365" s="5" t="str">
        <f>HYPERLINK("http://www.broadinstitute.org/gsea/msigdb/cards/GOCC_M_BAND.html","GOCC_M_BAND")</f>
        <v>GOCC_M_BAND</v>
      </c>
      <c r="C6365" s="4">
        <v>18</v>
      </c>
      <c r="D6365" s="3">
        <v>-1.6039047</v>
      </c>
      <c r="E6365" s="1">
        <v>1.9512195E-2</v>
      </c>
      <c r="F6365" s="2">
        <v>0.10335966000000001</v>
      </c>
    </row>
    <row r="6366" spans="1:6" x14ac:dyDescent="0.25">
      <c r="A6366" t="s">
        <v>6</v>
      </c>
      <c r="B6366" s="5" t="str">
        <f>HYPERLINK("http://www.broadinstitute.org/gsea/msigdb/cards/GOBP_CHAPERONE_MEDIATED_PROTEIN_COMPLEX_ASSEMBLY.html","GOBP_CHAPERONE_MEDIATED_PROTEIN_COMPLEX_ASSEMBLY")</f>
        <v>GOBP_CHAPERONE_MEDIATED_PROTEIN_COMPLEX_ASSEMBLY</v>
      </c>
      <c r="C6366" s="4">
        <v>18</v>
      </c>
      <c r="D6366" s="3">
        <v>-1.6045095</v>
      </c>
      <c r="E6366" s="1">
        <v>2.0179372000000001E-2</v>
      </c>
      <c r="F6366" s="2">
        <v>0.10326014999999999</v>
      </c>
    </row>
    <row r="6367" spans="1:6" x14ac:dyDescent="0.25">
      <c r="A6367" t="s">
        <v>8</v>
      </c>
      <c r="B6367" s="5" t="str">
        <f>HYPERLINK("http://www.broadinstitute.org/gsea/msigdb/cards/GOMF_EXTRACELLULAR_LIGAND_GATED_MONOATOMIC_ION_CHANNEL_ACTIVITY.html","GOMF_EXTRACELLULAR_LIGAND_GATED_MONOATOMIC_ION_CHANNEL_ACTIVITY")</f>
        <v>GOMF_EXTRACELLULAR_LIGAND_GATED_MONOATOMIC_ION_CHANNEL_ACTIVITY</v>
      </c>
      <c r="C6367" s="4">
        <v>67</v>
      </c>
      <c r="D6367" s="3">
        <v>-1.6048</v>
      </c>
      <c r="E6367" s="1">
        <v>5.7971016999999996E-3</v>
      </c>
      <c r="F6367" s="2">
        <v>0.10340078</v>
      </c>
    </row>
    <row r="6368" spans="1:6" x14ac:dyDescent="0.25">
      <c r="A6368" t="s">
        <v>10</v>
      </c>
      <c r="B6368" s="5" t="str">
        <f>HYPERLINK("http://www.broadinstitute.org/gsea/msigdb/cards/REACTOME_DECTIN_1_MEDIATED_NONCANONICAL_NF_KB_SIGNALING.html","REACTOME_DECTIN_1_MEDIATED_NONCANONICAL_NF_KB_SIGNALING")</f>
        <v>REACTOME_DECTIN_1_MEDIATED_NONCANONICAL_NF_KB_SIGNALING</v>
      </c>
      <c r="C6368" s="4">
        <v>57</v>
      </c>
      <c r="D6368" s="3">
        <v>-1.6060127</v>
      </c>
      <c r="E6368" s="1">
        <v>1.0309278E-2</v>
      </c>
      <c r="F6368" s="2">
        <v>0.10283427000000001</v>
      </c>
    </row>
    <row r="6369" spans="1:6" x14ac:dyDescent="0.25">
      <c r="A6369" t="s">
        <v>7</v>
      </c>
      <c r="B6369" s="5" t="str">
        <f>HYPERLINK("http://www.broadinstitute.org/gsea/msigdb/cards/GOCC_SARCOPLASM.html","GOCC_SARCOPLASM")</f>
        <v>GOCC_SARCOPLASM</v>
      </c>
      <c r="C6369" s="4">
        <v>100</v>
      </c>
      <c r="D6369" s="3">
        <v>-1.6073997</v>
      </c>
      <c r="E6369" s="1">
        <v>0</v>
      </c>
      <c r="F6369" s="2">
        <v>0.10206272500000001</v>
      </c>
    </row>
    <row r="6370" spans="1:6" x14ac:dyDescent="0.25">
      <c r="A6370" t="s">
        <v>6</v>
      </c>
      <c r="B6370" s="5" t="str">
        <f>HYPERLINK("http://www.broadinstitute.org/gsea/msigdb/cards/GOBP_URETER_DEVELOPMENT.html","GOBP_URETER_DEVELOPMENT")</f>
        <v>GOBP_URETER_DEVELOPMENT</v>
      </c>
      <c r="C6370" s="4">
        <v>20</v>
      </c>
      <c r="D6370" s="3">
        <v>-1.6074525</v>
      </c>
      <c r="E6370" s="1">
        <v>1.9417475999999999E-2</v>
      </c>
      <c r="F6370" s="2">
        <v>0.10242036</v>
      </c>
    </row>
    <row r="6371" spans="1:6" x14ac:dyDescent="0.25">
      <c r="A6371" t="s">
        <v>8</v>
      </c>
      <c r="B6371" s="5" t="str">
        <f>HYPERLINK("http://www.broadinstitute.org/gsea/msigdb/cards/GOMF_PROTON_CHANNEL_ACTIVITY.html","GOMF_PROTON_CHANNEL_ACTIVITY")</f>
        <v>GOMF_PROTON_CHANNEL_ACTIVITY</v>
      </c>
      <c r="C6371" s="4">
        <v>19</v>
      </c>
      <c r="D6371" s="3">
        <v>-1.6083101</v>
      </c>
      <c r="E6371" s="1">
        <v>1.6431924000000001E-2</v>
      </c>
      <c r="F6371" s="2">
        <v>0.10217822999999999</v>
      </c>
    </row>
    <row r="6372" spans="1:6" x14ac:dyDescent="0.25">
      <c r="A6372" t="s">
        <v>7</v>
      </c>
      <c r="B6372" s="5" t="str">
        <f>HYPERLINK("http://www.broadinstitute.org/gsea/msigdb/cards/GOCC_PRESPLICEOSOME.html","GOCC_PRESPLICEOSOME")</f>
        <v>GOCC_PRESPLICEOSOME</v>
      </c>
      <c r="C6372" s="4">
        <v>15</v>
      </c>
      <c r="D6372" s="3">
        <v>-1.6113462000000001</v>
      </c>
      <c r="E6372" s="1">
        <v>1.438849E-2</v>
      </c>
      <c r="F6372" s="2">
        <v>0.10025371600000001</v>
      </c>
    </row>
    <row r="6373" spans="1:6" x14ac:dyDescent="0.25">
      <c r="A6373" t="s">
        <v>7</v>
      </c>
      <c r="B6373" s="5" t="str">
        <f>HYPERLINK("http://www.broadinstitute.org/gsea/msigdb/cards/GOCC_TRICARBOXYLIC_ACID_CYCLE_ENZYME_COMPLEX.html","GOCC_TRICARBOXYLIC_ACID_CYCLE_ENZYME_COMPLEX")</f>
        <v>GOCC_TRICARBOXYLIC_ACID_CYCLE_ENZYME_COMPLEX</v>
      </c>
      <c r="C6373" s="4">
        <v>20</v>
      </c>
      <c r="D6373" s="3">
        <v>-1.6136649999999999</v>
      </c>
      <c r="E6373" s="1">
        <v>1.4251781999999999E-2</v>
      </c>
      <c r="F6373" s="2">
        <v>9.8838350000000005E-2</v>
      </c>
    </row>
    <row r="6374" spans="1:6" x14ac:dyDescent="0.25">
      <c r="A6374" t="s">
        <v>6</v>
      </c>
      <c r="B6374" s="5" t="str">
        <f>HYPERLINK("http://www.broadinstitute.org/gsea/msigdb/cards/GOBP_V_D_J_RECOMBINATION.html","GOBP_V_D_J_RECOMBINATION")</f>
        <v>GOBP_V_D_J_RECOMBINATION</v>
      </c>
      <c r="C6374" s="4">
        <v>20</v>
      </c>
      <c r="D6374" s="3">
        <v>-1.6139323000000001</v>
      </c>
      <c r="E6374" s="1">
        <v>1.4018691E-2</v>
      </c>
      <c r="F6374" s="2">
        <v>9.9020584999999994E-2</v>
      </c>
    </row>
    <row r="6375" spans="1:6" x14ac:dyDescent="0.25">
      <c r="A6375" t="s">
        <v>6</v>
      </c>
      <c r="B6375" s="5" t="str">
        <f>HYPERLINK("http://www.broadinstitute.org/gsea/msigdb/cards/GOBP_EMBRYONIC_SKELETAL_SYSTEM_MORPHOGENESIS.html","GOBP_EMBRYONIC_SKELETAL_SYSTEM_MORPHOGENESIS")</f>
        <v>GOBP_EMBRYONIC_SKELETAL_SYSTEM_MORPHOGENESIS</v>
      </c>
      <c r="C6375" s="4">
        <v>107</v>
      </c>
      <c r="D6375" s="3">
        <v>-1.6160163000000001</v>
      </c>
      <c r="E6375" s="1">
        <v>2.8735632000000001E-3</v>
      </c>
      <c r="F6375" s="2">
        <v>9.7948915999999997E-2</v>
      </c>
    </row>
    <row r="6376" spans="1:6" x14ac:dyDescent="0.25">
      <c r="A6376" t="s">
        <v>7</v>
      </c>
      <c r="B6376" s="5" t="str">
        <f>HYPERLINK("http://www.broadinstitute.org/gsea/msigdb/cards/GOCC_POLYSOMAL_RIBOSOME.html","GOCC_POLYSOMAL_RIBOSOME")</f>
        <v>GOCC_POLYSOMAL_RIBOSOME</v>
      </c>
      <c r="C6376" s="4">
        <v>34</v>
      </c>
      <c r="D6376" s="3">
        <v>-1.6162993000000001</v>
      </c>
      <c r="E6376" s="1">
        <v>1.5503876E-2</v>
      </c>
      <c r="F6376" s="2">
        <v>9.8138474000000003E-2</v>
      </c>
    </row>
    <row r="6377" spans="1:6" x14ac:dyDescent="0.25">
      <c r="A6377" t="s">
        <v>6</v>
      </c>
      <c r="B6377" s="5" t="str">
        <f>HYPERLINK("http://www.broadinstitute.org/gsea/msigdb/cards/GOBP_PROTEIN_INSERTION_INTO_MEMBRANE.html","GOBP_PROTEIN_INSERTION_INTO_MEMBRANE")</f>
        <v>GOBP_PROTEIN_INSERTION_INTO_MEMBRANE</v>
      </c>
      <c r="C6377" s="4">
        <v>62</v>
      </c>
      <c r="D6377" s="3">
        <v>-1.6217941</v>
      </c>
      <c r="E6377" s="1">
        <v>8.1967210000000006E-3</v>
      </c>
      <c r="F6377" s="2">
        <v>9.4299380000000002E-2</v>
      </c>
    </row>
    <row r="6378" spans="1:6" x14ac:dyDescent="0.25">
      <c r="A6378" t="s">
        <v>10</v>
      </c>
      <c r="B6378" s="5" t="str">
        <f>HYPERLINK("http://www.broadinstitute.org/gsea/msigdb/cards/REACTOME_EPIGENETIC_REGULATION_OF_GENE_EXPRESSION.html","REACTOME_EPIGENETIC_REGULATION_OF_GENE_EXPRESSION")</f>
        <v>REACTOME_EPIGENETIC_REGULATION_OF_GENE_EXPRESSION</v>
      </c>
      <c r="C6378" s="4">
        <v>136</v>
      </c>
      <c r="D6378" s="3">
        <v>-1.6228119000000001</v>
      </c>
      <c r="E6378" s="1">
        <v>0</v>
      </c>
      <c r="F6378" s="2">
        <v>9.4004340000000006E-2</v>
      </c>
    </row>
    <row r="6379" spans="1:6" x14ac:dyDescent="0.25">
      <c r="A6379" t="s">
        <v>6</v>
      </c>
      <c r="B6379" s="5" t="str">
        <f>HYPERLINK("http://www.broadinstitute.org/gsea/msigdb/cards/GOBP_REGULATION_OF_MICROTUBULE_DEPOLYMERIZATION.html","GOBP_REGULATION_OF_MICROTUBULE_DEPOLYMERIZATION")</f>
        <v>GOBP_REGULATION_OF_MICROTUBULE_DEPOLYMERIZATION</v>
      </c>
      <c r="C6379" s="4">
        <v>39</v>
      </c>
      <c r="D6379" s="3">
        <v>-1.6230799</v>
      </c>
      <c r="E6379" s="1">
        <v>5.4644806999999997E-3</v>
      </c>
      <c r="F6379" s="2">
        <v>9.4180459999999994E-2</v>
      </c>
    </row>
    <row r="6380" spans="1:6" x14ac:dyDescent="0.25">
      <c r="A6380" t="s">
        <v>6</v>
      </c>
      <c r="B6380" s="5" t="str">
        <f>HYPERLINK("http://www.broadinstitute.org/gsea/msigdb/cards/GOBP_SARCOMERE_ORGANIZATION.html","GOBP_SARCOMERE_ORGANIZATION")</f>
        <v>GOBP_SARCOMERE_ORGANIZATION</v>
      </c>
      <c r="C6380" s="4">
        <v>49</v>
      </c>
      <c r="D6380" s="3">
        <v>-1.623178</v>
      </c>
      <c r="E6380" s="1">
        <v>8.0000000000000002E-3</v>
      </c>
      <c r="F6380" s="2">
        <v>9.4523830000000003E-2</v>
      </c>
    </row>
    <row r="6381" spans="1:6" x14ac:dyDescent="0.25">
      <c r="A6381" t="s">
        <v>6</v>
      </c>
      <c r="B6381" s="5" t="str">
        <f>HYPERLINK("http://www.broadinstitute.org/gsea/msigdb/cards/GOBP_REGULATION_OF_MUSCLE_ADAPTATION.html","GOBP_REGULATION_OF_MUSCLE_ADAPTATION")</f>
        <v>GOBP_REGULATION_OF_MUSCLE_ADAPTATION</v>
      </c>
      <c r="C6381" s="4">
        <v>104</v>
      </c>
      <c r="D6381" s="3">
        <v>-1.6235493000000001</v>
      </c>
      <c r="E6381" s="1">
        <v>2.9154519999999998E-3</v>
      </c>
      <c r="F6381" s="2">
        <v>9.4621499999999997E-2</v>
      </c>
    </row>
    <row r="6382" spans="1:6" x14ac:dyDescent="0.25">
      <c r="A6382" t="s">
        <v>10</v>
      </c>
      <c r="B6382" s="5" t="str">
        <f>HYPERLINK("http://www.broadinstitute.org/gsea/msigdb/cards/REACTOME_HEDGEHOG_LIGAND_BIOGENESIS.html","REACTOME_HEDGEHOG_LIGAND_BIOGENESIS")</f>
        <v>REACTOME_HEDGEHOG_LIGAND_BIOGENESIS</v>
      </c>
      <c r="C6382" s="4">
        <v>63</v>
      </c>
      <c r="D6382" s="3">
        <v>-1.6245669</v>
      </c>
      <c r="E6382" s="1">
        <v>5.1679589999999997E-3</v>
      </c>
      <c r="F6382" s="2">
        <v>9.4258449999999994E-2</v>
      </c>
    </row>
    <row r="6383" spans="1:6" x14ac:dyDescent="0.25">
      <c r="A6383" t="s">
        <v>10</v>
      </c>
      <c r="B6383" s="5" t="str">
        <f>HYPERLINK("http://www.broadinstitute.org/gsea/msigdb/cards/REACTOME_STABILIZATION_OF_P53.html","REACTOME_STABILIZATION_OF_P53")</f>
        <v>REACTOME_STABILIZATION_OF_P53</v>
      </c>
      <c r="C6383" s="4">
        <v>55</v>
      </c>
      <c r="D6383" s="3">
        <v>-1.6255381</v>
      </c>
      <c r="E6383" s="1">
        <v>7.4074073000000001E-3</v>
      </c>
      <c r="F6383" s="2">
        <v>9.3936069999999997E-2</v>
      </c>
    </row>
    <row r="6384" spans="1:6" x14ac:dyDescent="0.25">
      <c r="A6384" t="s">
        <v>6</v>
      </c>
      <c r="B6384" s="5" t="str">
        <f>HYPERLINK("http://www.broadinstitute.org/gsea/msigdb/cards/GOBP_NEGATIVE_REGULATION_OF_SMOOTH_MUSCLE_CELL_DIFFERENTIATION.html","GOBP_NEGATIVE_REGULATION_OF_SMOOTH_MUSCLE_CELL_DIFFERENTIATION")</f>
        <v>GOBP_NEGATIVE_REGULATION_OF_SMOOTH_MUSCLE_CELL_DIFFERENTIATION</v>
      </c>
      <c r="C6384" s="4">
        <v>16</v>
      </c>
      <c r="D6384" s="3">
        <v>-1.6269214999999999</v>
      </c>
      <c r="E6384" s="1">
        <v>1.9047620000000001E-2</v>
      </c>
      <c r="F6384" s="2">
        <v>9.3334793999999999E-2</v>
      </c>
    </row>
    <row r="6385" spans="1:6" x14ac:dyDescent="0.25">
      <c r="A6385" t="s">
        <v>7</v>
      </c>
      <c r="B6385" s="5" t="str">
        <f>HYPERLINK("http://www.broadinstitute.org/gsea/msigdb/cards/GOCC_SARCOPLASMIC_RETICULUM_MEMBRANE.html","GOCC_SARCOPLASMIC_RETICULUM_MEMBRANE")</f>
        <v>GOCC_SARCOPLASMIC_RETICULUM_MEMBRANE</v>
      </c>
      <c r="C6385" s="4">
        <v>25</v>
      </c>
      <c r="D6385" s="3">
        <v>-1.6296976999999999</v>
      </c>
      <c r="E6385" s="1">
        <v>2.1582733999999999E-2</v>
      </c>
      <c r="F6385" s="2">
        <v>9.1646149999999996E-2</v>
      </c>
    </row>
    <row r="6386" spans="1:6" x14ac:dyDescent="0.25">
      <c r="A6386" t="s">
        <v>7</v>
      </c>
      <c r="B6386" s="5" t="str">
        <f>HYPERLINK("http://www.broadinstitute.org/gsea/msigdb/cards/GOCC_ENDONUCLEASE_COMPLEX.html","GOCC_ENDONUCLEASE_COMPLEX")</f>
        <v>GOCC_ENDONUCLEASE_COMPLEX</v>
      </c>
      <c r="C6386" s="4">
        <v>38</v>
      </c>
      <c r="D6386" s="3">
        <v>-1.6319691000000001</v>
      </c>
      <c r="E6386" s="1">
        <v>1.2820513E-2</v>
      </c>
      <c r="F6386" s="2">
        <v>9.034172E-2</v>
      </c>
    </row>
    <row r="6387" spans="1:6" x14ac:dyDescent="0.25">
      <c r="A6387" t="s">
        <v>10</v>
      </c>
      <c r="B6387" s="5" t="str">
        <f>HYPERLINK("http://www.broadinstitute.org/gsea/msigdb/cards/REACTOME_FORMATION_OF_TC_NER_PRE_INCISION_COMPLEX.html","REACTOME_FORMATION_OF_TC_NER_PRE_INCISION_COMPLEX")</f>
        <v>REACTOME_FORMATION_OF_TC_NER_PRE_INCISION_COMPLEX</v>
      </c>
      <c r="C6387" s="4">
        <v>52</v>
      </c>
      <c r="D6387" s="3">
        <v>-1.6345738000000001</v>
      </c>
      <c r="E6387" s="1">
        <v>0</v>
      </c>
      <c r="F6387" s="2">
        <v>8.8734395999999993E-2</v>
      </c>
    </row>
    <row r="6388" spans="1:6" x14ac:dyDescent="0.25">
      <c r="A6388" t="s">
        <v>6</v>
      </c>
      <c r="B6388" s="5" t="str">
        <f>HYPERLINK("http://www.broadinstitute.org/gsea/msigdb/cards/GOBP_MICROTUBULE_DEPOLYMERIZATION.html","GOBP_MICROTUBULE_DEPOLYMERIZATION")</f>
        <v>GOBP_MICROTUBULE_DEPOLYMERIZATION</v>
      </c>
      <c r="C6388" s="4">
        <v>59</v>
      </c>
      <c r="D6388" s="3">
        <v>-1.6362656</v>
      </c>
      <c r="E6388" s="1">
        <v>5.1546389999999999E-3</v>
      </c>
      <c r="F6388" s="2">
        <v>8.7822385000000003E-2</v>
      </c>
    </row>
    <row r="6389" spans="1:6" x14ac:dyDescent="0.25">
      <c r="A6389" t="s">
        <v>6</v>
      </c>
      <c r="B6389" s="5" t="str">
        <f>HYPERLINK("http://www.broadinstitute.org/gsea/msigdb/cards/GOBP_DEVELOPMENTAL_INDUCTION.html","GOBP_DEVELOPMENTAL_INDUCTION")</f>
        <v>GOBP_DEVELOPMENTAL_INDUCTION</v>
      </c>
      <c r="C6389" s="4">
        <v>43</v>
      </c>
      <c r="D6389" s="3">
        <v>-1.6380672000000001</v>
      </c>
      <c r="E6389" s="1">
        <v>1.0416666999999999E-2</v>
      </c>
      <c r="F6389" s="2">
        <v>8.6808780000000002E-2</v>
      </c>
    </row>
    <row r="6390" spans="1:6" x14ac:dyDescent="0.25">
      <c r="A6390" t="s">
        <v>6</v>
      </c>
      <c r="B6390" s="5" t="str">
        <f>HYPERLINK("http://www.broadinstitute.org/gsea/msigdb/cards/GOBP_REGULATION_OF_MOTOR_NEURON_APOPTOTIC_PROCESS.html","GOBP_REGULATION_OF_MOTOR_NEURON_APOPTOTIC_PROCESS")</f>
        <v>GOBP_REGULATION_OF_MOTOR_NEURON_APOPTOTIC_PROCESS</v>
      </c>
      <c r="C6390" s="4">
        <v>19</v>
      </c>
      <c r="D6390" s="3">
        <v>-1.6399853</v>
      </c>
      <c r="E6390" s="1">
        <v>1.3274335999999999E-2</v>
      </c>
      <c r="F6390" s="2">
        <v>8.5855470000000003E-2</v>
      </c>
    </row>
    <row r="6391" spans="1:6" x14ac:dyDescent="0.25">
      <c r="A6391" t="s">
        <v>10</v>
      </c>
      <c r="B6391" s="5" t="str">
        <f>HYPERLINK("http://www.broadinstitute.org/gsea/msigdb/cards/REACTOME_MRNA_CAPPING.html","REACTOME_MRNA_CAPPING")</f>
        <v>REACTOME_MRNA_CAPPING</v>
      </c>
      <c r="C6391" s="4">
        <v>28</v>
      </c>
      <c r="D6391" s="3">
        <v>-1.6402277000000001</v>
      </c>
      <c r="E6391" s="1">
        <v>8.9686100000000001E-3</v>
      </c>
      <c r="F6391" s="2">
        <v>8.6005280000000003E-2</v>
      </c>
    </row>
    <row r="6392" spans="1:6" x14ac:dyDescent="0.25">
      <c r="A6392" t="s">
        <v>6</v>
      </c>
      <c r="B6392" s="5" t="str">
        <f>HYPERLINK("http://www.broadinstitute.org/gsea/msigdb/cards/GOBP_REGULATION_OF_DNA_STRAND_ELONGATION.html","GOBP_REGULATION_OF_DNA_STRAND_ELONGATION")</f>
        <v>GOBP_REGULATION_OF_DNA_STRAND_ELONGATION</v>
      </c>
      <c r="C6392" s="4">
        <v>18</v>
      </c>
      <c r="D6392" s="3">
        <v>-1.6449183000000001</v>
      </c>
      <c r="E6392" s="1">
        <v>2.3696683E-2</v>
      </c>
      <c r="F6392" s="2">
        <v>8.3170709999999995E-2</v>
      </c>
    </row>
    <row r="6393" spans="1:6" x14ac:dyDescent="0.25">
      <c r="A6393" t="s">
        <v>10</v>
      </c>
      <c r="B6393" s="5" t="str">
        <f>HYPERLINK("http://www.broadinstitute.org/gsea/msigdb/cards/REACTOME_UCH_PROTEINASES.html","REACTOME_UCH_PROTEINASES")</f>
        <v>REACTOME_UCH_PROTEINASES</v>
      </c>
      <c r="C6393" s="4">
        <v>94</v>
      </c>
      <c r="D6393" s="3">
        <v>-1.6464182000000001</v>
      </c>
      <c r="E6393" s="1">
        <v>2.9325512999999999E-3</v>
      </c>
      <c r="F6393" s="2">
        <v>8.2596734000000005E-2</v>
      </c>
    </row>
    <row r="6394" spans="1:6" x14ac:dyDescent="0.25">
      <c r="A6394" t="s">
        <v>10</v>
      </c>
      <c r="B6394" s="5" t="str">
        <f>HYPERLINK("http://www.broadinstitute.org/gsea/msigdb/cards/REACTOME_ION_HOMEOSTASIS.html","REACTOME_ION_HOMEOSTASIS")</f>
        <v>REACTOME_ION_HOMEOSTASIS</v>
      </c>
      <c r="C6394" s="4">
        <v>52</v>
      </c>
      <c r="D6394" s="3">
        <v>-1.6464445999999999</v>
      </c>
      <c r="E6394" s="1">
        <v>2.6246720000000002E-3</v>
      </c>
      <c r="F6394" s="2">
        <v>8.2944459999999998E-2</v>
      </c>
    </row>
    <row r="6395" spans="1:6" x14ac:dyDescent="0.25">
      <c r="A6395" t="s">
        <v>10</v>
      </c>
      <c r="B6395" s="5" t="str">
        <f>HYPERLINK("http://www.broadinstitute.org/gsea/msigdb/cards/REACTOME_TRANSCRIPTIONAL_REGULATION_BY_RUNX3.html","REACTOME_TRANSCRIPTIONAL_REGULATION_BY_RUNX3")</f>
        <v>REACTOME_TRANSCRIPTIONAL_REGULATION_BY_RUNX3</v>
      </c>
      <c r="C6395" s="4">
        <v>77</v>
      </c>
      <c r="D6395" s="3">
        <v>-1.6473937000000001</v>
      </c>
      <c r="E6395" s="1">
        <v>0</v>
      </c>
      <c r="F6395" s="2">
        <v>8.2641505000000004E-2</v>
      </c>
    </row>
    <row r="6396" spans="1:6" x14ac:dyDescent="0.25">
      <c r="A6396" t="s">
        <v>10</v>
      </c>
      <c r="B6396" s="5" t="str">
        <f>HYPERLINK("http://www.broadinstitute.org/gsea/msigdb/cards/REACTOME_METABOLISM_OF_POLYAMINES.html","REACTOME_METABOLISM_OF_POLYAMINES")</f>
        <v>REACTOME_METABOLISM_OF_POLYAMINES</v>
      </c>
      <c r="C6396" s="4">
        <v>58</v>
      </c>
      <c r="D6396" s="3">
        <v>-1.6477906</v>
      </c>
      <c r="E6396" s="1">
        <v>2.5000000000000001E-3</v>
      </c>
      <c r="F6396" s="2">
        <v>8.2709119999999997E-2</v>
      </c>
    </row>
    <row r="6397" spans="1:6" x14ac:dyDescent="0.25">
      <c r="A6397" t="s">
        <v>8</v>
      </c>
      <c r="B6397" s="5" t="str">
        <f>HYPERLINK("http://www.broadinstitute.org/gsea/msigdb/cards/GOMF_DYNEIN_HEAVY_CHAIN_BINDING.html","GOMF_DYNEIN_HEAVY_CHAIN_BINDING")</f>
        <v>GOMF_DYNEIN_HEAVY_CHAIN_BINDING</v>
      </c>
      <c r="C6397" s="4">
        <v>17</v>
      </c>
      <c r="D6397" s="3">
        <v>-1.6481001</v>
      </c>
      <c r="E6397" s="1">
        <v>2.5882352000000001E-2</v>
      </c>
      <c r="F6397" s="2">
        <v>8.2819729999999994E-2</v>
      </c>
    </row>
    <row r="6398" spans="1:6" x14ac:dyDescent="0.25">
      <c r="A6398" t="s">
        <v>6</v>
      </c>
      <c r="B6398" s="5" t="str">
        <f>HYPERLINK("http://www.broadinstitute.org/gsea/msigdb/cards/GOBP_NEPHRON_TUBULE_FORMATION.html","GOBP_NEPHRON_TUBULE_FORMATION")</f>
        <v>GOBP_NEPHRON_TUBULE_FORMATION</v>
      </c>
      <c r="C6398" s="4">
        <v>20</v>
      </c>
      <c r="D6398" s="3">
        <v>-1.650161</v>
      </c>
      <c r="E6398" s="1">
        <v>2.4875622E-2</v>
      </c>
      <c r="F6398" s="2">
        <v>8.179728E-2</v>
      </c>
    </row>
    <row r="6399" spans="1:6" x14ac:dyDescent="0.25">
      <c r="A6399" t="s">
        <v>10</v>
      </c>
      <c r="B6399" s="5" t="str">
        <f>HYPERLINK("http://www.broadinstitute.org/gsea/msigdb/cards/REACTOME_TRANSCRIPTION_COUPLED_NUCLEOTIDE_EXCISION_REPAIR_TC_NER.html","REACTOME_TRANSCRIPTION_COUPLED_NUCLEOTIDE_EXCISION_REPAIR_TC_NER")</f>
        <v>REACTOME_TRANSCRIPTION_COUPLED_NUCLEOTIDE_EXCISION_REPAIR_TC_NER</v>
      </c>
      <c r="C6399" s="4">
        <v>75</v>
      </c>
      <c r="D6399" s="3">
        <v>-1.6520896</v>
      </c>
      <c r="E6399" s="1">
        <v>2.8985508E-3</v>
      </c>
      <c r="F6399" s="2">
        <v>8.088381E-2</v>
      </c>
    </row>
    <row r="6400" spans="1:6" x14ac:dyDescent="0.25">
      <c r="A6400" t="s">
        <v>7</v>
      </c>
      <c r="B6400" s="5" t="str">
        <f>HYPERLINK("http://www.broadinstitute.org/gsea/msigdb/cards/GOCC_HISTONE_DEACETYLASE_COMPLEX.html","GOCC_HISTONE_DEACETYLASE_COMPLEX")</f>
        <v>GOCC_HISTONE_DEACETYLASE_COMPLEX</v>
      </c>
      <c r="C6400" s="4">
        <v>82</v>
      </c>
      <c r="D6400" s="3">
        <v>-1.6527661</v>
      </c>
      <c r="E6400" s="1">
        <v>0</v>
      </c>
      <c r="F6400" s="2">
        <v>8.0851610000000004E-2</v>
      </c>
    </row>
    <row r="6401" spans="1:6" x14ac:dyDescent="0.25">
      <c r="A6401" t="s">
        <v>6</v>
      </c>
      <c r="B6401" s="5" t="str">
        <f>HYPERLINK("http://www.broadinstitute.org/gsea/msigdb/cards/GOBP_ESTABLISHMENT_OF_PROTEIN_LOCALIZATION_TO_CHROMOSOME.html","GOBP_ESTABLISHMENT_OF_PROTEIN_LOCALIZATION_TO_CHROMOSOME")</f>
        <v>GOBP_ESTABLISHMENT_OF_PROTEIN_LOCALIZATION_TO_CHROMOSOME</v>
      </c>
      <c r="C6401" s="4">
        <v>28</v>
      </c>
      <c r="D6401" s="3">
        <v>-1.6539436999999999</v>
      </c>
      <c r="E6401" s="1">
        <v>1.4457831000000001E-2</v>
      </c>
      <c r="F6401" s="2">
        <v>8.0384313999999998E-2</v>
      </c>
    </row>
    <row r="6402" spans="1:6" x14ac:dyDescent="0.25">
      <c r="A6402" t="s">
        <v>7</v>
      </c>
      <c r="B6402" s="5" t="str">
        <f>HYPERLINK("http://www.broadinstitute.org/gsea/msigdb/cards/GOCC_PROTEASOME_ACCESSORY_COMPLEX.html","GOCC_PROTEASOME_ACCESSORY_COMPLEX")</f>
        <v>GOCC_PROTEASOME_ACCESSORY_COMPLEX</v>
      </c>
      <c r="C6402" s="4">
        <v>24</v>
      </c>
      <c r="D6402" s="3">
        <v>-1.6547540000000001</v>
      </c>
      <c r="E6402" s="1">
        <v>1.2285012E-2</v>
      </c>
      <c r="F6402" s="2">
        <v>8.0203440000000001E-2</v>
      </c>
    </row>
    <row r="6403" spans="1:6" x14ac:dyDescent="0.25">
      <c r="A6403" t="s">
        <v>6</v>
      </c>
      <c r="B6403" s="5" t="str">
        <f>HYPERLINK("http://www.broadinstitute.org/gsea/msigdb/cards/GOBP_REGULATION_OF_ESTABLISHMENT_OF_PROTEIN_LOCALIZATION_TO_MITOCHONDRION.html","GOBP_REGULATION_OF_ESTABLISHMENT_OF_PROTEIN_LOCALIZATION_TO_MITOCHONDRION")</f>
        <v>GOBP_REGULATION_OF_ESTABLISHMENT_OF_PROTEIN_LOCALIZATION_TO_MITOCHONDRION</v>
      </c>
      <c r="C6403" s="4">
        <v>26</v>
      </c>
      <c r="D6403" s="3">
        <v>-1.6563810000000001</v>
      </c>
      <c r="E6403" s="1">
        <v>7.6726344000000004E-3</v>
      </c>
      <c r="F6403" s="2">
        <v>7.9517439999999995E-2</v>
      </c>
    </row>
    <row r="6404" spans="1:6" x14ac:dyDescent="0.25">
      <c r="A6404" t="s">
        <v>10</v>
      </c>
      <c r="B6404" s="5" t="str">
        <f>HYPERLINK("http://www.broadinstitute.org/gsea/msigdb/cards/REACTOME_TELOMERE_EXTENSION_BY_TELOMERASE.html","REACTOME_TELOMERE_EXTENSION_BY_TELOMERASE")</f>
        <v>REACTOME_TELOMERE_EXTENSION_BY_TELOMERASE</v>
      </c>
      <c r="C6404" s="4">
        <v>20</v>
      </c>
      <c r="D6404" s="3">
        <v>-1.6564968</v>
      </c>
      <c r="E6404" s="1">
        <v>1.6627078999999999E-2</v>
      </c>
      <c r="F6404" s="2">
        <v>7.9835853999999998E-2</v>
      </c>
    </row>
    <row r="6405" spans="1:6" x14ac:dyDescent="0.25">
      <c r="A6405" t="s">
        <v>6</v>
      </c>
      <c r="B6405" s="5" t="str">
        <f>HYPERLINK("http://www.broadinstitute.org/gsea/msigdb/cards/GOBP_ODONTOGENESIS_OF_DENTIN_CONTAINING_TOOTH.html","GOBP_ODONTOGENESIS_OF_DENTIN_CONTAINING_TOOTH")</f>
        <v>GOBP_ODONTOGENESIS_OF_DENTIN_CONTAINING_TOOTH</v>
      </c>
      <c r="C6405" s="4">
        <v>91</v>
      </c>
      <c r="D6405" s="3">
        <v>-1.6568954</v>
      </c>
      <c r="E6405" s="1">
        <v>0</v>
      </c>
      <c r="F6405" s="2">
        <v>7.9972089999999996E-2</v>
      </c>
    </row>
    <row r="6406" spans="1:6" x14ac:dyDescent="0.25">
      <c r="A6406" t="s">
        <v>8</v>
      </c>
      <c r="B6406" s="5" t="str">
        <f>HYPERLINK("http://www.broadinstitute.org/gsea/msigdb/cards/GOMF_MODIFICATION_DEPENDENT_PROTEIN_BINDING.html","GOMF_MODIFICATION_DEPENDENT_PROTEIN_BINDING")</f>
        <v>GOMF_MODIFICATION_DEPENDENT_PROTEIN_BINDING</v>
      </c>
      <c r="C6406" s="4">
        <v>180</v>
      </c>
      <c r="D6406" s="3">
        <v>-1.6575865999999999</v>
      </c>
      <c r="E6406" s="1">
        <v>0</v>
      </c>
      <c r="F6406" s="2">
        <v>7.9856549999999998E-2</v>
      </c>
    </row>
    <row r="6407" spans="1:6" x14ac:dyDescent="0.25">
      <c r="A6407" t="s">
        <v>6</v>
      </c>
      <c r="B6407" s="5" t="str">
        <f>HYPERLINK("http://www.broadinstitute.org/gsea/msigdb/cards/GOBP_POSITIVE_REGULATION_OF_MITOCHONDRIAL_TRANSLATION.html","GOBP_POSITIVE_REGULATION_OF_MITOCHONDRIAL_TRANSLATION")</f>
        <v>GOBP_POSITIVE_REGULATION_OF_MITOCHONDRIAL_TRANSLATION</v>
      </c>
      <c r="C6407" s="4">
        <v>17</v>
      </c>
      <c r="D6407" s="3">
        <v>-1.6588068</v>
      </c>
      <c r="E6407" s="1">
        <v>1.6908211999999999E-2</v>
      </c>
      <c r="F6407" s="2">
        <v>7.9466306E-2</v>
      </c>
    </row>
    <row r="6408" spans="1:6" x14ac:dyDescent="0.25">
      <c r="A6408" t="s">
        <v>10</v>
      </c>
      <c r="B6408" s="5" t="str">
        <f>HYPERLINK("http://www.broadinstitute.org/gsea/msigdb/cards/REACTOME_G1_S_DNA_DAMAGE_CHECKPOINTS.html","REACTOME_G1_S_DNA_DAMAGE_CHECKPOINTS")</f>
        <v>REACTOME_G1_S_DNA_DAMAGE_CHECKPOINTS</v>
      </c>
      <c r="C6408" s="4">
        <v>65</v>
      </c>
      <c r="D6408" s="3">
        <v>-1.6590651000000001</v>
      </c>
      <c r="E6408" s="1">
        <v>2.7173914000000001E-3</v>
      </c>
      <c r="F6408" s="2">
        <v>7.9690664999999994E-2</v>
      </c>
    </row>
    <row r="6409" spans="1:6" x14ac:dyDescent="0.25">
      <c r="A6409" t="s">
        <v>6</v>
      </c>
      <c r="B6409" s="5" t="str">
        <f>HYPERLINK("http://www.broadinstitute.org/gsea/msigdb/cards/GOBP_REGULATION_OF_MAMMARY_GLAND_EPITHELIAL_CELL_PROLIFERATION.html","GOBP_REGULATION_OF_MAMMARY_GLAND_EPITHELIAL_CELL_PROLIFERATION")</f>
        <v>GOBP_REGULATION_OF_MAMMARY_GLAND_EPITHELIAL_CELL_PROLIFERATION</v>
      </c>
      <c r="C6409" s="4">
        <v>19</v>
      </c>
      <c r="D6409" s="3">
        <v>-1.6595211999999999</v>
      </c>
      <c r="E6409" s="1">
        <v>4.7393367E-3</v>
      </c>
      <c r="F6409" s="2">
        <v>7.9769220000000002E-2</v>
      </c>
    </row>
    <row r="6410" spans="1:6" x14ac:dyDescent="0.25">
      <c r="A6410" t="s">
        <v>6</v>
      </c>
      <c r="B6410" s="5" t="str">
        <f>HYPERLINK("http://www.broadinstitute.org/gsea/msigdb/cards/GOBP_GLIAL_CELL_FATE_COMMITMENT.html","GOBP_GLIAL_CELL_FATE_COMMITMENT")</f>
        <v>GOBP_GLIAL_CELL_FATE_COMMITMENT</v>
      </c>
      <c r="C6410" s="4">
        <v>17</v>
      </c>
      <c r="D6410" s="3">
        <v>-1.6601275</v>
      </c>
      <c r="E6410" s="1">
        <v>2.0930232E-2</v>
      </c>
      <c r="F6410" s="2">
        <v>7.9732449999999996E-2</v>
      </c>
    </row>
    <row r="6411" spans="1:6" x14ac:dyDescent="0.25">
      <c r="A6411" t="s">
        <v>7</v>
      </c>
      <c r="B6411" s="5" t="str">
        <f>HYPERLINK("http://www.broadinstitute.org/gsea/msigdb/cards/GOCC_A_BAND.html","GOCC_A_BAND")</f>
        <v>GOCC_A_BAND</v>
      </c>
      <c r="C6411" s="4">
        <v>37</v>
      </c>
      <c r="D6411" s="3">
        <v>-1.6610069999999999</v>
      </c>
      <c r="E6411" s="1">
        <v>1.0282776E-2</v>
      </c>
      <c r="F6411" s="2">
        <v>7.9480246000000004E-2</v>
      </c>
    </row>
    <row r="6412" spans="1:6" x14ac:dyDescent="0.25">
      <c r="A6412" t="s">
        <v>6</v>
      </c>
      <c r="B6412" s="5" t="str">
        <f>HYPERLINK("http://www.broadinstitute.org/gsea/msigdb/cards/GOBP_MITOCHONDRIAL_TRANSMEMBRANE_TRANSPORT.html","GOBP_MITOCHONDRIAL_TRANSMEMBRANE_TRANSPORT")</f>
        <v>GOBP_MITOCHONDRIAL_TRANSMEMBRANE_TRANSPORT</v>
      </c>
      <c r="C6412" s="4">
        <v>57</v>
      </c>
      <c r="D6412" s="3">
        <v>-1.6621193000000001</v>
      </c>
      <c r="E6412" s="1">
        <v>7.352941E-3</v>
      </c>
      <c r="F6412" s="2">
        <v>7.9181199999999993E-2</v>
      </c>
    </row>
    <row r="6413" spans="1:6" x14ac:dyDescent="0.25">
      <c r="A6413" t="s">
        <v>6</v>
      </c>
      <c r="B6413" s="5" t="str">
        <f>HYPERLINK("http://www.broadinstitute.org/gsea/msigdb/cards/GOBP_CARTILAGE_CONDENSATION.html","GOBP_CARTILAGE_CONDENSATION")</f>
        <v>GOBP_CARTILAGE_CONDENSATION</v>
      </c>
      <c r="C6413" s="4">
        <v>21</v>
      </c>
      <c r="D6413" s="3">
        <v>-1.6625433999999999</v>
      </c>
      <c r="E6413" s="1">
        <v>7.4999999999999997E-3</v>
      </c>
      <c r="F6413" s="2">
        <v>7.9315120000000003E-2</v>
      </c>
    </row>
    <row r="6414" spans="1:6" x14ac:dyDescent="0.25">
      <c r="A6414" t="s">
        <v>10</v>
      </c>
      <c r="B6414" s="5" t="str">
        <f>HYPERLINK("http://www.broadinstitute.org/gsea/msigdb/cards/REACTOME_CYTOPROTECTION_BY_HMOX1.html","REACTOME_CYTOPROTECTION_BY_HMOX1")</f>
        <v>REACTOME_CYTOPROTECTION_BY_HMOX1</v>
      </c>
      <c r="C6414" s="4">
        <v>48</v>
      </c>
      <c r="D6414" s="3">
        <v>-1.6640022000000001</v>
      </c>
      <c r="E6414" s="1">
        <v>5.1020407000000002E-3</v>
      </c>
      <c r="F6414" s="2">
        <v>7.8720970000000001E-2</v>
      </c>
    </row>
    <row r="6415" spans="1:6" x14ac:dyDescent="0.25">
      <c r="A6415" t="s">
        <v>10</v>
      </c>
      <c r="B6415" s="5" t="str">
        <f>HYPERLINK("http://www.broadinstitute.org/gsea/msigdb/cards/REACTOME_UBIQUITIN_MEDIATED_DEGRADATION_OF_PHOSPHORYLATED_CDC25A.html","REACTOME_UBIQUITIN_MEDIATED_DEGRADATION_OF_PHOSPHORYLATED_CDC25A")</f>
        <v>REACTOME_UBIQUITIN_MEDIATED_DEGRADATION_OF_PHOSPHORYLATED_CDC25A</v>
      </c>
      <c r="C6415" s="4">
        <v>51</v>
      </c>
      <c r="D6415" s="3">
        <v>-1.6649716999999999</v>
      </c>
      <c r="E6415" s="1">
        <v>5.1282052999999999E-3</v>
      </c>
      <c r="F6415" s="2">
        <v>7.8475710000000004E-2</v>
      </c>
    </row>
    <row r="6416" spans="1:6" x14ac:dyDescent="0.25">
      <c r="A6416" t="s">
        <v>6</v>
      </c>
      <c r="B6416" s="5" t="str">
        <f>HYPERLINK("http://www.broadinstitute.org/gsea/msigdb/cards/GOBP_DNA_METHYLATION.html","GOBP_DNA_METHYLATION")</f>
        <v>GOBP_DNA_METHYLATION</v>
      </c>
      <c r="C6416" s="4">
        <v>44</v>
      </c>
      <c r="D6416" s="3">
        <v>-1.6651384</v>
      </c>
      <c r="E6416" s="1">
        <v>5.0251256000000003E-3</v>
      </c>
      <c r="F6416" s="2">
        <v>7.8732930000000007E-2</v>
      </c>
    </row>
    <row r="6417" spans="1:6" x14ac:dyDescent="0.25">
      <c r="A6417" t="s">
        <v>10</v>
      </c>
      <c r="B6417" s="5" t="str">
        <f>HYPERLINK("http://www.broadinstitute.org/gsea/msigdb/cards/REACTOME_TP53_REGULATES_TRANSCRIPTION_OF_DNA_REPAIR_GENES.html","REACTOME_TP53_REGULATES_TRANSCRIPTION_OF_DNA_REPAIR_GENES")</f>
        <v>REACTOME_TP53_REGULATES_TRANSCRIPTION_OF_DNA_REPAIR_GENES</v>
      </c>
      <c r="C6417" s="4">
        <v>43</v>
      </c>
      <c r="D6417" s="3">
        <v>-1.6652178</v>
      </c>
      <c r="E6417" s="1">
        <v>4.9751242999999997E-3</v>
      </c>
      <c r="F6417" s="2">
        <v>7.9063594000000001E-2</v>
      </c>
    </row>
    <row r="6418" spans="1:6" x14ac:dyDescent="0.25">
      <c r="A6418" t="s">
        <v>7</v>
      </c>
      <c r="B6418" s="5" t="str">
        <f>HYPERLINK("http://www.broadinstitute.org/gsea/msigdb/cards/GOCC_CYTOSOLIC_RIBOSOME.html","GOCC_CYTOSOLIC_RIBOSOME")</f>
        <v>GOCC_CYTOSOLIC_RIBOSOME</v>
      </c>
      <c r="C6418" s="4">
        <v>115</v>
      </c>
      <c r="D6418" s="3">
        <v>-1.6668940999999999</v>
      </c>
      <c r="E6418" s="1">
        <v>0</v>
      </c>
      <c r="F6418" s="2">
        <v>7.8215010000000001E-2</v>
      </c>
    </row>
    <row r="6419" spans="1:6" x14ac:dyDescent="0.25">
      <c r="A6419" t="s">
        <v>6</v>
      </c>
      <c r="B6419" s="5" t="str">
        <f>HYPERLINK("http://www.broadinstitute.org/gsea/msigdb/cards/GOBP_MISMATCH_REPAIR.html","GOBP_MISMATCH_REPAIR")</f>
        <v>GOBP_MISMATCH_REPAIR</v>
      </c>
      <c r="C6419" s="4">
        <v>24</v>
      </c>
      <c r="D6419" s="3">
        <v>-1.6672252000000001</v>
      </c>
      <c r="E6419" s="1">
        <v>1.0178117E-2</v>
      </c>
      <c r="F6419" s="2">
        <v>7.8360825999999995E-2</v>
      </c>
    </row>
    <row r="6420" spans="1:6" x14ac:dyDescent="0.25">
      <c r="A6420" t="s">
        <v>6</v>
      </c>
      <c r="B6420" s="5" t="str">
        <f>HYPERLINK("http://www.broadinstitute.org/gsea/msigdb/cards/GOBP_HEART_FORMATION.html","GOBP_HEART_FORMATION")</f>
        <v>GOBP_HEART_FORMATION</v>
      </c>
      <c r="C6420" s="4">
        <v>34</v>
      </c>
      <c r="D6420" s="3">
        <v>-1.6672959999999999</v>
      </c>
      <c r="E6420" s="1">
        <v>4.830918E-3</v>
      </c>
      <c r="F6420" s="2">
        <v>7.8685895000000006E-2</v>
      </c>
    </row>
    <row r="6421" spans="1:6" x14ac:dyDescent="0.25">
      <c r="A6421" t="s">
        <v>6</v>
      </c>
      <c r="B6421" s="5" t="str">
        <f>HYPERLINK("http://www.broadinstitute.org/gsea/msigdb/cards/GOBP_NEUROENDOCRINE_CELL_DIFFERENTIATION.html","GOBP_NEUROENDOCRINE_CELL_DIFFERENTIATION")</f>
        <v>GOBP_NEUROENDOCRINE_CELL_DIFFERENTIATION</v>
      </c>
      <c r="C6421" s="4">
        <v>16</v>
      </c>
      <c r="D6421" s="3">
        <v>-1.6709240999999999</v>
      </c>
      <c r="E6421" s="1">
        <v>1.2690355E-2</v>
      </c>
      <c r="F6421" s="2">
        <v>7.6819319999999996E-2</v>
      </c>
    </row>
    <row r="6422" spans="1:6" x14ac:dyDescent="0.25">
      <c r="A6422" t="s">
        <v>8</v>
      </c>
      <c r="B6422" s="5" t="str">
        <f>HYPERLINK("http://www.broadinstitute.org/gsea/msigdb/cards/GOMF_TELOMERIC_DNA_BINDING.html","GOMF_TELOMERIC_DNA_BINDING")</f>
        <v>GOMF_TELOMERIC_DNA_BINDING</v>
      </c>
      <c r="C6422" s="4">
        <v>38</v>
      </c>
      <c r="D6422" s="3">
        <v>-1.6737896999999999</v>
      </c>
      <c r="E6422" s="1">
        <v>7.6923076999999996E-3</v>
      </c>
      <c r="F6422" s="2">
        <v>7.5290099999999999E-2</v>
      </c>
    </row>
    <row r="6423" spans="1:6" x14ac:dyDescent="0.25">
      <c r="A6423" t="s">
        <v>10</v>
      </c>
      <c r="B6423" s="5" t="str">
        <f>HYPERLINK("http://www.broadinstitute.org/gsea/msigdb/cards/REACTOME_AUF1_HNRNP_D0_BINDS_AND_DESTABILIZES_MRNA.html","REACTOME_AUF1_HNRNP_D0_BINDS_AND_DESTABILIZES_MRNA")</f>
        <v>REACTOME_AUF1_HNRNP_D0_BINDS_AND_DESTABILIZES_MRNA</v>
      </c>
      <c r="C6423" s="4">
        <v>55</v>
      </c>
      <c r="D6423" s="3">
        <v>-1.6741052000000001</v>
      </c>
      <c r="E6423" s="1">
        <v>5.0632910000000001E-3</v>
      </c>
      <c r="F6423" s="2">
        <v>7.553137E-2</v>
      </c>
    </row>
    <row r="6424" spans="1:6" x14ac:dyDescent="0.25">
      <c r="A6424" t="s">
        <v>6</v>
      </c>
      <c r="B6424" s="5" t="str">
        <f>HYPERLINK("http://www.broadinstitute.org/gsea/msigdb/cards/GOBP_CELL_FATE_DETERMINATION.html","GOBP_CELL_FATE_DETERMINATION")</f>
        <v>GOBP_CELL_FATE_DETERMINATION</v>
      </c>
      <c r="C6424" s="4">
        <v>41</v>
      </c>
      <c r="D6424" s="3">
        <v>-1.6741680000000001</v>
      </c>
      <c r="E6424" s="1">
        <v>8.2191780000000006E-3</v>
      </c>
      <c r="F6424" s="2">
        <v>7.5866359999999994E-2</v>
      </c>
    </row>
    <row r="6425" spans="1:6" x14ac:dyDescent="0.25">
      <c r="A6425" t="s">
        <v>10</v>
      </c>
      <c r="B6425" s="5" t="str">
        <f>HYPERLINK("http://www.broadinstitute.org/gsea/msigdb/cards/REACTOME_NUCLEAR_EVENTS_MEDIATED_BY_NFE2L2.html","REACTOME_NUCLEAR_EVENTS_MEDIATED_BY_NFE2L2")</f>
        <v>REACTOME_NUCLEAR_EVENTS_MEDIATED_BY_NFE2L2</v>
      </c>
      <c r="C6425" s="4">
        <v>54</v>
      </c>
      <c r="D6425" s="3">
        <v>-1.6754013999999999</v>
      </c>
      <c r="E6425" s="1">
        <v>2.6455025999999999E-3</v>
      </c>
      <c r="F6425" s="2">
        <v>7.5460250000000006E-2</v>
      </c>
    </row>
    <row r="6426" spans="1:6" x14ac:dyDescent="0.25">
      <c r="A6426" t="s">
        <v>10</v>
      </c>
      <c r="B6426" s="5" t="str">
        <f>HYPERLINK("http://www.broadinstitute.org/gsea/msigdb/cards/REACTOME_THE_ROLE_OF_GTSE1_IN_G2_M_PROGRESSION_AFTER_G2_CHECKPOINT.html","REACTOME_THE_ROLE_OF_GTSE1_IN_G2_M_PROGRESSION_AFTER_G2_CHECKPOINT")</f>
        <v>REACTOME_THE_ROLE_OF_GTSE1_IN_G2_M_PROGRESSION_AFTER_G2_CHECKPOINT</v>
      </c>
      <c r="C6426" s="4">
        <v>74</v>
      </c>
      <c r="D6426" s="3">
        <v>-1.6777575</v>
      </c>
      <c r="E6426" s="1">
        <v>0</v>
      </c>
      <c r="F6426" s="2">
        <v>7.4355744000000001E-2</v>
      </c>
    </row>
    <row r="6427" spans="1:6" x14ac:dyDescent="0.25">
      <c r="A6427" t="s">
        <v>10</v>
      </c>
      <c r="B6427" s="5" t="str">
        <f>HYPERLINK("http://www.broadinstitute.org/gsea/msigdb/cards/REACTOME_SUMOYLATION_OF_INTRACELLULAR_RECEPTORS.html","REACTOME_SUMOYLATION_OF_INTRACELLULAR_RECEPTORS")</f>
        <v>REACTOME_SUMOYLATION_OF_INTRACELLULAR_RECEPTORS</v>
      </c>
      <c r="C6427" s="4">
        <v>27</v>
      </c>
      <c r="D6427" s="3">
        <v>-1.6784905000000001</v>
      </c>
      <c r="E6427" s="1">
        <v>1.1415524999999999E-2</v>
      </c>
      <c r="F6427" s="2">
        <v>7.4246850000000003E-2</v>
      </c>
    </row>
    <row r="6428" spans="1:6" x14ac:dyDescent="0.25">
      <c r="A6428" t="s">
        <v>10</v>
      </c>
      <c r="B6428" s="5" t="str">
        <f>HYPERLINK("http://www.broadinstitute.org/gsea/msigdb/cards/REACTOME_GLI3_IS_PROCESSED_TO_GLI3R_BY_THE_PROTEASOME.html","REACTOME_GLI3_IS_PROCESSED_TO_GLI3R_BY_THE_PROTEASOME")</f>
        <v>REACTOME_GLI3_IS_PROCESSED_TO_GLI3R_BY_THE_PROTEASOME</v>
      </c>
      <c r="C6428" s="4">
        <v>57</v>
      </c>
      <c r="D6428" s="3">
        <v>-1.6805361999999999</v>
      </c>
      <c r="E6428" s="1">
        <v>2.6041667E-3</v>
      </c>
      <c r="F6428" s="2">
        <v>7.3433324999999994E-2</v>
      </c>
    </row>
    <row r="6429" spans="1:6" x14ac:dyDescent="0.25">
      <c r="A6429" t="s">
        <v>6</v>
      </c>
      <c r="B6429" s="5" t="str">
        <f>HYPERLINK("http://www.broadinstitute.org/gsea/msigdb/cards/GOBP_DIENCEPHALON_DEVELOPMENT.html","GOBP_DIENCEPHALON_DEVELOPMENT")</f>
        <v>GOBP_DIENCEPHALON_DEVELOPMENT</v>
      </c>
      <c r="C6429" s="4">
        <v>75</v>
      </c>
      <c r="D6429" s="3">
        <v>-1.6824524000000001</v>
      </c>
      <c r="E6429" s="1">
        <v>0</v>
      </c>
      <c r="F6429" s="2">
        <v>7.2675480000000001E-2</v>
      </c>
    </row>
    <row r="6430" spans="1:6" x14ac:dyDescent="0.25">
      <c r="A6430" t="s">
        <v>6</v>
      </c>
      <c r="B6430" s="5" t="str">
        <f>HYPERLINK("http://www.broadinstitute.org/gsea/msigdb/cards/GOBP_RESPIRATORY_CHAIN_COMPLEX_IV_ASSEMBLY.html","GOBP_RESPIRATORY_CHAIN_COMPLEX_IV_ASSEMBLY")</f>
        <v>GOBP_RESPIRATORY_CHAIN_COMPLEX_IV_ASSEMBLY</v>
      </c>
      <c r="C6430" s="4">
        <v>26</v>
      </c>
      <c r="D6430" s="3">
        <v>-1.6845151</v>
      </c>
      <c r="E6430" s="1">
        <v>1.2285012E-2</v>
      </c>
      <c r="F6430" s="2">
        <v>7.1829420000000005E-2</v>
      </c>
    </row>
    <row r="6431" spans="1:6" x14ac:dyDescent="0.25">
      <c r="A6431" t="s">
        <v>10</v>
      </c>
      <c r="B6431" s="5" t="str">
        <f>HYPERLINK("http://www.broadinstitute.org/gsea/msigdb/cards/REACTOME_REGULATION_OF_RUNX2_EXPRESSION_AND_ACTIVITY.html","REACTOME_REGULATION_OF_RUNX2_EXPRESSION_AND_ACTIVITY")</f>
        <v>REACTOME_REGULATION_OF_RUNX2_EXPRESSION_AND_ACTIVITY</v>
      </c>
      <c r="C6431" s="4">
        <v>51</v>
      </c>
      <c r="D6431" s="3">
        <v>-1.6859846999999999</v>
      </c>
      <c r="E6431" s="1">
        <v>2.4096386000000002E-3</v>
      </c>
      <c r="F6431" s="2">
        <v>7.1362490000000001E-2</v>
      </c>
    </row>
    <row r="6432" spans="1:6" x14ac:dyDescent="0.25">
      <c r="A6432" t="s">
        <v>8</v>
      </c>
      <c r="B6432" s="5" t="str">
        <f>HYPERLINK("http://www.broadinstitute.org/gsea/msigdb/cards/GOMF_BASAL_TRANSCRIPTION_MACHINERY_BINDING.html","GOMF_BASAL_TRANSCRIPTION_MACHINERY_BINDING")</f>
        <v>GOMF_BASAL_TRANSCRIPTION_MACHINERY_BINDING</v>
      </c>
      <c r="C6432" s="4">
        <v>62</v>
      </c>
      <c r="D6432" s="3">
        <v>-1.6868083</v>
      </c>
      <c r="E6432" s="1">
        <v>2.6385225000000001E-3</v>
      </c>
      <c r="F6432" s="2">
        <v>7.1268044000000003E-2</v>
      </c>
    </row>
    <row r="6433" spans="1:6" x14ac:dyDescent="0.25">
      <c r="A6433" t="s">
        <v>7</v>
      </c>
      <c r="B6433" s="5" t="str">
        <f>HYPERLINK("http://www.broadinstitute.org/gsea/msigdb/cards/GOCC_AXON_INITIAL_SEGMENT.html","GOCC_AXON_INITIAL_SEGMENT")</f>
        <v>GOCC_AXON_INITIAL_SEGMENT</v>
      </c>
      <c r="C6433" s="4">
        <v>28</v>
      </c>
      <c r="D6433" s="3">
        <v>-1.687303</v>
      </c>
      <c r="E6433" s="1">
        <v>9.478673E-3</v>
      </c>
      <c r="F6433" s="2">
        <v>7.1325730000000004E-2</v>
      </c>
    </row>
    <row r="6434" spans="1:6" x14ac:dyDescent="0.25">
      <c r="A6434" t="s">
        <v>10</v>
      </c>
      <c r="B6434" s="5" t="str">
        <f>HYPERLINK("http://www.broadinstitute.org/gsea/msigdb/cards/REACTOME_PROCESSING_OF_CAPPED_INTRONLESS_PRE_MRNA.html","REACTOME_PROCESSING_OF_CAPPED_INTRONLESS_PRE_MRNA")</f>
        <v>REACTOME_PROCESSING_OF_CAPPED_INTRONLESS_PRE_MRNA</v>
      </c>
      <c r="C6434" s="4">
        <v>29</v>
      </c>
      <c r="D6434" s="3">
        <v>-1.6884698</v>
      </c>
      <c r="E6434" s="1">
        <v>2.4330900000000002E-3</v>
      </c>
      <c r="F6434" s="2">
        <v>7.099047E-2</v>
      </c>
    </row>
    <row r="6435" spans="1:6" x14ac:dyDescent="0.25">
      <c r="A6435" t="s">
        <v>6</v>
      </c>
      <c r="B6435" s="5" t="str">
        <f>HYPERLINK("http://www.broadinstitute.org/gsea/msigdb/cards/GOBP_NUCLEOSOME_ORGANIZATION.html","GOBP_NUCLEOSOME_ORGANIZATION")</f>
        <v>GOBP_NUCLEOSOME_ORGANIZATION</v>
      </c>
      <c r="C6435" s="4">
        <v>84</v>
      </c>
      <c r="D6435" s="3">
        <v>-1.6913796999999999</v>
      </c>
      <c r="E6435" s="1">
        <v>0</v>
      </c>
      <c r="F6435" s="2">
        <v>6.9555850000000002E-2</v>
      </c>
    </row>
    <row r="6436" spans="1:6" x14ac:dyDescent="0.25">
      <c r="A6436" t="s">
        <v>6</v>
      </c>
      <c r="B6436" s="5" t="str">
        <f>HYPERLINK("http://www.broadinstitute.org/gsea/msigdb/cards/GOBP_POSITIVE_REGULATION_OF_CARTILAGE_DEVELOPMENT.html","GOBP_POSITIVE_REGULATION_OF_CARTILAGE_DEVELOPMENT")</f>
        <v>GOBP_POSITIVE_REGULATION_OF_CARTILAGE_DEVELOPMENT</v>
      </c>
      <c r="C6436" s="4">
        <v>31</v>
      </c>
      <c r="D6436" s="3">
        <v>-1.6916859</v>
      </c>
      <c r="E6436" s="1">
        <v>7.1770334999999999E-3</v>
      </c>
      <c r="F6436" s="2">
        <v>6.9802253999999994E-2</v>
      </c>
    </row>
    <row r="6437" spans="1:6" x14ac:dyDescent="0.25">
      <c r="A6437" t="s">
        <v>7</v>
      </c>
      <c r="B6437" s="5" t="str">
        <f>HYPERLINK("http://www.broadinstitute.org/gsea/msigdb/cards/GOCC_INO80_COMPLEX.html","GOCC_INO80_COMPLEX")</f>
        <v>GOCC_INO80_COMPLEX</v>
      </c>
      <c r="C6437" s="4">
        <v>16</v>
      </c>
      <c r="D6437" s="3">
        <v>-1.6928003</v>
      </c>
      <c r="E6437" s="1">
        <v>2.1028037999999999E-2</v>
      </c>
      <c r="F6437" s="2">
        <v>6.9531570000000001E-2</v>
      </c>
    </row>
    <row r="6438" spans="1:6" x14ac:dyDescent="0.25">
      <c r="A6438" t="s">
        <v>10</v>
      </c>
      <c r="B6438" s="5" t="str">
        <f>HYPERLINK("http://www.broadinstitute.org/gsea/msigdb/cards/REACTOME_MUSCLE_CONTRACTION.html","REACTOME_MUSCLE_CONTRACTION")</f>
        <v>REACTOME_MUSCLE_CONTRACTION</v>
      </c>
      <c r="C6438" s="4">
        <v>159</v>
      </c>
      <c r="D6438" s="3">
        <v>-1.6930841999999999</v>
      </c>
      <c r="E6438" s="1">
        <v>0</v>
      </c>
      <c r="F6438" s="2">
        <v>6.9715230000000003E-2</v>
      </c>
    </row>
    <row r="6439" spans="1:6" x14ac:dyDescent="0.25">
      <c r="A6439" t="s">
        <v>6</v>
      </c>
      <c r="B6439" s="5" t="str">
        <f>HYPERLINK("http://www.broadinstitute.org/gsea/msigdb/cards/GOBP_NUCLEAR_TRANSCRIBED_MRNA_POLY_A_TAIL_SHORTENING.html","GOBP_NUCLEAR_TRANSCRIBED_MRNA_POLY_A_TAIL_SHORTENING")</f>
        <v>GOBP_NUCLEAR_TRANSCRIBED_MRNA_POLY_A_TAIL_SHORTENING</v>
      </c>
      <c r="C6439" s="4">
        <v>27</v>
      </c>
      <c r="D6439" s="3">
        <v>-1.6935442999999999</v>
      </c>
      <c r="E6439" s="1">
        <v>2.3752970000000002E-3</v>
      </c>
      <c r="F6439" s="2">
        <v>6.9807839999999996E-2</v>
      </c>
    </row>
    <row r="6440" spans="1:6" x14ac:dyDescent="0.25">
      <c r="A6440" t="s">
        <v>8</v>
      </c>
      <c r="B6440" s="5" t="str">
        <f>HYPERLINK("http://www.broadinstitute.org/gsea/msigdb/cards/GOMF_TRANSMITTER_GATED_CHANNEL_ACTIVITY.html","GOMF_TRANSMITTER_GATED_CHANNEL_ACTIVITY")</f>
        <v>GOMF_TRANSMITTER_GATED_CHANNEL_ACTIVITY</v>
      </c>
      <c r="C6440" s="4">
        <v>53</v>
      </c>
      <c r="D6440" s="3">
        <v>-1.6938734</v>
      </c>
      <c r="E6440" s="1">
        <v>0</v>
      </c>
      <c r="F6440" s="2">
        <v>6.9986240000000005E-2</v>
      </c>
    </row>
    <row r="6441" spans="1:6" x14ac:dyDescent="0.25">
      <c r="A6441" t="s">
        <v>8</v>
      </c>
      <c r="B6441" s="5" t="str">
        <f>HYPERLINK("http://www.broadinstitute.org/gsea/msigdb/cards/GOMF_HISTONE_H3K4_METHYLTRANSFERASE_ACTIVITY.html","GOMF_HISTONE_H3K4_METHYLTRANSFERASE_ACTIVITY")</f>
        <v>GOMF_HISTONE_H3K4_METHYLTRANSFERASE_ACTIVITY</v>
      </c>
      <c r="C6441" s="4">
        <v>19</v>
      </c>
      <c r="D6441" s="3">
        <v>-1.6999187</v>
      </c>
      <c r="E6441" s="1">
        <v>2.4229075999999999E-2</v>
      </c>
      <c r="F6441" s="2">
        <v>6.6745719999999994E-2</v>
      </c>
    </row>
    <row r="6442" spans="1:6" x14ac:dyDescent="0.25">
      <c r="A6442" t="s">
        <v>8</v>
      </c>
      <c r="B6442" s="5" t="str">
        <f>HYPERLINK("http://www.broadinstitute.org/gsea/msigdb/cards/GOMF_POSTSYNAPTIC_NEUROTRANSMITTER_RECEPTOR_ACTIVITY.html","GOMF_POSTSYNAPTIC_NEUROTRANSMITTER_RECEPTOR_ACTIVITY")</f>
        <v>GOMF_POSTSYNAPTIC_NEUROTRANSMITTER_RECEPTOR_ACTIVITY</v>
      </c>
      <c r="C6442" s="4">
        <v>68</v>
      </c>
      <c r="D6442" s="3">
        <v>-1.7030225000000001</v>
      </c>
      <c r="E6442" s="1">
        <v>0</v>
      </c>
      <c r="F6442" s="2">
        <v>6.5483029999999998E-2</v>
      </c>
    </row>
    <row r="6443" spans="1:6" x14ac:dyDescent="0.25">
      <c r="A6443" t="s">
        <v>6</v>
      </c>
      <c r="B6443" s="5" t="str">
        <f>HYPERLINK("http://www.broadinstitute.org/gsea/msigdb/cards/GOBP_POSITIVE_REGULATION_OF_STEM_CELL_POPULATION_MAINTENANCE.html","GOBP_POSITIVE_REGULATION_OF_STEM_CELL_POPULATION_MAINTENANCE")</f>
        <v>GOBP_POSITIVE_REGULATION_OF_STEM_CELL_POPULATION_MAINTENANCE</v>
      </c>
      <c r="C6443" s="4">
        <v>50</v>
      </c>
      <c r="D6443" s="3">
        <v>-1.7036112999999999</v>
      </c>
      <c r="E6443" s="1">
        <v>0</v>
      </c>
      <c r="F6443" s="2">
        <v>6.5550499999999998E-2</v>
      </c>
    </row>
    <row r="6444" spans="1:6" x14ac:dyDescent="0.25">
      <c r="A6444" t="s">
        <v>7</v>
      </c>
      <c r="B6444" s="5" t="str">
        <f>HYPERLINK("http://www.broadinstitute.org/gsea/msigdb/cards/GOCC_CYTOSOLIC_LARGE_RIBOSOMAL_SUBUNIT.html","GOCC_CYTOSOLIC_LARGE_RIBOSOMAL_SUBUNIT")</f>
        <v>GOCC_CYTOSOLIC_LARGE_RIBOSOMAL_SUBUNIT</v>
      </c>
      <c r="C6444" s="4">
        <v>55</v>
      </c>
      <c r="D6444" s="3">
        <v>-1.7037518</v>
      </c>
      <c r="E6444" s="1">
        <v>0</v>
      </c>
      <c r="F6444" s="2">
        <v>6.581012E-2</v>
      </c>
    </row>
    <row r="6445" spans="1:6" x14ac:dyDescent="0.25">
      <c r="A6445" t="s">
        <v>7</v>
      </c>
      <c r="B6445" s="5" t="str">
        <f>HYPERLINK("http://www.broadinstitute.org/gsea/msigdb/cards/GOCC_U2_TYPE_CATALYTIC_STEP_2_SPLICEOSOME.html","GOCC_U2_TYPE_CATALYTIC_STEP_2_SPLICEOSOME")</f>
        <v>GOCC_U2_TYPE_CATALYTIC_STEP_2_SPLICEOSOME</v>
      </c>
      <c r="C6445" s="4">
        <v>30</v>
      </c>
      <c r="D6445" s="3">
        <v>-1.7042611999999999</v>
      </c>
      <c r="E6445" s="1">
        <v>5.0890585000000002E-3</v>
      </c>
      <c r="F6445" s="2">
        <v>6.5859935999999994E-2</v>
      </c>
    </row>
    <row r="6446" spans="1:6" x14ac:dyDescent="0.25">
      <c r="A6446" t="s">
        <v>6</v>
      </c>
      <c r="B6446" s="5" t="str">
        <f>HYPERLINK("http://www.broadinstitute.org/gsea/msigdb/cards/GOBP_REGULATION_OF_ALTERNATIVE_MRNA_SPLICING_VIA_SPLICEOSOME.html","GOBP_REGULATION_OF_ALTERNATIVE_MRNA_SPLICING_VIA_SPLICEOSOME")</f>
        <v>GOBP_REGULATION_OF_ALTERNATIVE_MRNA_SPLICING_VIA_SPLICEOSOME</v>
      </c>
      <c r="C6446" s="4">
        <v>55</v>
      </c>
      <c r="D6446" s="3">
        <v>-1.7063305</v>
      </c>
      <c r="E6446" s="1">
        <v>2.5062655999999999E-3</v>
      </c>
      <c r="F6446" s="2">
        <v>6.5016835999999995E-2</v>
      </c>
    </row>
    <row r="6447" spans="1:6" x14ac:dyDescent="0.25">
      <c r="A6447" t="s">
        <v>6</v>
      </c>
      <c r="B6447" s="5" t="str">
        <f>HYPERLINK("http://www.broadinstitute.org/gsea/msigdb/cards/GOBP_MITOCHONDRIAL_TRANSPORT.html","GOBP_MITOCHONDRIAL_TRANSPORT")</f>
        <v>GOBP_MITOCHONDRIAL_TRANSPORT</v>
      </c>
      <c r="C6447" s="4">
        <v>153</v>
      </c>
      <c r="D6447" s="3">
        <v>-1.7087287</v>
      </c>
      <c r="E6447" s="1">
        <v>0</v>
      </c>
      <c r="F6447" s="2">
        <v>6.4041210000000001E-2</v>
      </c>
    </row>
    <row r="6448" spans="1:6" x14ac:dyDescent="0.25">
      <c r="A6448" t="s">
        <v>6</v>
      </c>
      <c r="B6448" s="5" t="str">
        <f>HYPERLINK("http://www.broadinstitute.org/gsea/msigdb/cards/GOBP_HIPPOCAMPUS_DEVELOPMENT.html","GOBP_HIPPOCAMPUS_DEVELOPMENT")</f>
        <v>GOBP_HIPPOCAMPUS_DEVELOPMENT</v>
      </c>
      <c r="C6448" s="4">
        <v>82</v>
      </c>
      <c r="D6448" s="3">
        <v>-1.7121824000000001</v>
      </c>
      <c r="E6448" s="1">
        <v>2.5974025000000001E-3</v>
      </c>
      <c r="F6448" s="2">
        <v>6.2727179999999993E-2</v>
      </c>
    </row>
    <row r="6449" spans="1:6" x14ac:dyDescent="0.25">
      <c r="A6449" t="s">
        <v>7</v>
      </c>
      <c r="B6449" s="5" t="str">
        <f>HYPERLINK("http://www.broadinstitute.org/gsea/msigdb/cards/GOCC_RNAI_EFFECTOR_COMPLEX.html","GOCC_RNAI_EFFECTOR_COMPLEX")</f>
        <v>GOCC_RNAI_EFFECTOR_COMPLEX</v>
      </c>
      <c r="C6449" s="4">
        <v>15</v>
      </c>
      <c r="D6449" s="3">
        <v>-1.7153697000000001</v>
      </c>
      <c r="E6449" s="1">
        <v>9.3896715000000002E-3</v>
      </c>
      <c r="F6449" s="2">
        <v>6.1465167000000001E-2</v>
      </c>
    </row>
    <row r="6450" spans="1:6" x14ac:dyDescent="0.25">
      <c r="A6450" t="s">
        <v>10</v>
      </c>
      <c r="B6450" s="5" t="str">
        <f>HYPERLINK("http://www.broadinstitute.org/gsea/msigdb/cards/REACTOME_STRIATED_MUSCLE_CONTRACTION.html","REACTOME_STRIATED_MUSCLE_CONTRACTION")</f>
        <v>REACTOME_STRIATED_MUSCLE_CONTRACTION</v>
      </c>
      <c r="C6450" s="4">
        <v>35</v>
      </c>
      <c r="D6450" s="3">
        <v>-1.7160774000000001</v>
      </c>
      <c r="E6450" s="1">
        <v>7.2815535000000002E-3</v>
      </c>
      <c r="F6450" s="2">
        <v>6.1437673999999998E-2</v>
      </c>
    </row>
    <row r="6451" spans="1:6" x14ac:dyDescent="0.25">
      <c r="A6451" t="s">
        <v>6</v>
      </c>
      <c r="B6451" s="5" t="str">
        <f>HYPERLINK("http://www.broadinstitute.org/gsea/msigdb/cards/GOBP_REGULATION_OF_NUCLEAR_TRANSCRIBED_MRNA_POLY_A_TAIL_SHORTENING.html","GOBP_REGULATION_OF_NUCLEAR_TRANSCRIBED_MRNA_POLY_A_TAIL_SHORTENING")</f>
        <v>GOBP_REGULATION_OF_NUCLEAR_TRANSCRIBED_MRNA_POLY_A_TAIL_SHORTENING</v>
      </c>
      <c r="C6451" s="4">
        <v>15</v>
      </c>
      <c r="D6451" s="3">
        <v>-1.7161097999999999</v>
      </c>
      <c r="E6451" s="1">
        <v>9.3240094999999992E-3</v>
      </c>
      <c r="F6451" s="2">
        <v>6.1773210000000002E-2</v>
      </c>
    </row>
    <row r="6452" spans="1:6" x14ac:dyDescent="0.25">
      <c r="A6452" t="s">
        <v>6</v>
      </c>
      <c r="B6452" s="5" t="str">
        <f>HYPERLINK("http://www.broadinstitute.org/gsea/msigdb/cards/GOBP_TRANSLATION_AT_SYNAPSE.html","GOBP_TRANSLATION_AT_SYNAPSE")</f>
        <v>GOBP_TRANSLATION_AT_SYNAPSE</v>
      </c>
      <c r="C6452" s="4">
        <v>44</v>
      </c>
      <c r="D6452" s="3">
        <v>-1.7190032</v>
      </c>
      <c r="E6452" s="1">
        <v>0</v>
      </c>
      <c r="F6452" s="2">
        <v>6.0605190000000003E-2</v>
      </c>
    </row>
    <row r="6453" spans="1:6" x14ac:dyDescent="0.25">
      <c r="A6453" t="s">
        <v>6</v>
      </c>
      <c r="B6453" s="5" t="str">
        <f>HYPERLINK("http://www.broadinstitute.org/gsea/msigdb/cards/GOBP_ESTABLISHMENT_OF_PROTEIN_LOCALIZATION_TO_MITOCHONDRIAL_MEMBRANE.html","GOBP_ESTABLISHMENT_OF_PROTEIN_LOCALIZATION_TO_MITOCHONDRIAL_MEMBRANE")</f>
        <v>GOBP_ESTABLISHMENT_OF_PROTEIN_LOCALIZATION_TO_MITOCHONDRIAL_MEMBRANE</v>
      </c>
      <c r="C6453" s="4">
        <v>28</v>
      </c>
      <c r="D6453" s="3">
        <v>-1.7203565000000001</v>
      </c>
      <c r="E6453" s="1">
        <v>1.0582009999999999E-2</v>
      </c>
      <c r="F6453" s="2">
        <v>6.0346820000000002E-2</v>
      </c>
    </row>
    <row r="6454" spans="1:6" x14ac:dyDescent="0.25">
      <c r="A6454" t="s">
        <v>6</v>
      </c>
      <c r="B6454" s="5" t="str">
        <f>HYPERLINK("http://www.broadinstitute.org/gsea/msigdb/cards/GOBP_CIRCADIAN_REGULATION_OF_GENE_EXPRESSION.html","GOBP_CIRCADIAN_REGULATION_OF_GENE_EXPRESSION")</f>
        <v>GOBP_CIRCADIAN_REGULATION_OF_GENE_EXPRESSION</v>
      </c>
      <c r="C6454" s="4">
        <v>72</v>
      </c>
      <c r="D6454" s="3">
        <v>-1.7207425000000001</v>
      </c>
      <c r="E6454" s="1">
        <v>0</v>
      </c>
      <c r="F6454" s="2">
        <v>6.0489062000000003E-2</v>
      </c>
    </row>
    <row r="6455" spans="1:6" x14ac:dyDescent="0.25">
      <c r="A6455" t="s">
        <v>7</v>
      </c>
      <c r="B6455" s="5" t="str">
        <f>HYPERLINK("http://www.broadinstitute.org/gsea/msigdb/cards/GOCC_MYOSIN_II_COMPLEX.html","GOCC_MYOSIN_II_COMPLEX")</f>
        <v>GOCC_MYOSIN_II_COMPLEX</v>
      </c>
      <c r="C6455" s="4">
        <v>26</v>
      </c>
      <c r="D6455" s="3">
        <v>-1.7211875999999999</v>
      </c>
      <c r="E6455" s="1">
        <v>2.3923443999999999E-3</v>
      </c>
      <c r="F6455" s="2">
        <v>6.0587614999999997E-2</v>
      </c>
    </row>
    <row r="6456" spans="1:6" x14ac:dyDescent="0.25">
      <c r="A6456" t="s">
        <v>8</v>
      </c>
      <c r="B6456" s="5" t="str">
        <f>HYPERLINK("http://www.broadinstitute.org/gsea/msigdb/cards/GOMF_EXCITATORY_EXTRACELLULAR_LIGAND_GATED_MONOATOMIC_ION_CHANNEL_ACTIVITY.html","GOMF_EXCITATORY_EXTRACELLULAR_LIGAND_GATED_MONOATOMIC_ION_CHANNEL_ACTIVITY")</f>
        <v>GOMF_EXCITATORY_EXTRACELLULAR_LIGAND_GATED_MONOATOMIC_ION_CHANNEL_ACTIVITY</v>
      </c>
      <c r="C6456" s="4">
        <v>36</v>
      </c>
      <c r="D6456" s="3">
        <v>-1.7231494000000001</v>
      </c>
      <c r="E6456" s="1">
        <v>2.6385225000000001E-3</v>
      </c>
      <c r="F6456" s="2">
        <v>5.9888012999999997E-2</v>
      </c>
    </row>
    <row r="6457" spans="1:6" x14ac:dyDescent="0.25">
      <c r="A6457" t="s">
        <v>6</v>
      </c>
      <c r="B6457" s="5" t="str">
        <f>HYPERLINK("http://www.broadinstitute.org/gsea/msigdb/cards/GOBP_N_TERMINAL_PROTEIN_AMINO_ACID_MODIFICATION.html","GOBP_N_TERMINAL_PROTEIN_AMINO_ACID_MODIFICATION")</f>
        <v>GOBP_N_TERMINAL_PROTEIN_AMINO_ACID_MODIFICATION</v>
      </c>
      <c r="C6457" s="4">
        <v>27</v>
      </c>
      <c r="D6457" s="3">
        <v>-1.7336057</v>
      </c>
      <c r="E6457" s="1">
        <v>4.8192770000000003E-3</v>
      </c>
      <c r="F6457" s="2">
        <v>5.4868393000000001E-2</v>
      </c>
    </row>
    <row r="6458" spans="1:6" x14ac:dyDescent="0.25">
      <c r="A6458" t="s">
        <v>6</v>
      </c>
      <c r="B6458" s="5" t="str">
        <f>HYPERLINK("http://www.broadinstitute.org/gsea/msigdb/cards/GOBP_MUSCLE_ADAPTATION.html","GOBP_MUSCLE_ADAPTATION")</f>
        <v>GOBP_MUSCLE_ADAPTATION</v>
      </c>
      <c r="C6458" s="4">
        <v>131</v>
      </c>
      <c r="D6458" s="3">
        <v>-1.7337454999999999</v>
      </c>
      <c r="E6458" s="1">
        <v>0</v>
      </c>
      <c r="F6458" s="2">
        <v>5.515714E-2</v>
      </c>
    </row>
    <row r="6459" spans="1:6" x14ac:dyDescent="0.25">
      <c r="A6459" t="s">
        <v>6</v>
      </c>
      <c r="B6459" s="5" t="str">
        <f>HYPERLINK("http://www.broadinstitute.org/gsea/msigdb/cards/GOBP_CHROMATIN_REMODELING.html","GOBP_CHROMATIN_REMODELING")</f>
        <v>GOBP_CHROMATIN_REMODELING</v>
      </c>
      <c r="C6459" s="4">
        <v>455</v>
      </c>
      <c r="D6459" s="3">
        <v>-1.7347528000000001</v>
      </c>
      <c r="E6459" s="1">
        <v>0</v>
      </c>
      <c r="F6459" s="2">
        <v>5.4913244999999999E-2</v>
      </c>
    </row>
    <row r="6460" spans="1:6" x14ac:dyDescent="0.25">
      <c r="A6460" t="s">
        <v>6</v>
      </c>
      <c r="B6460" s="5" t="str">
        <f>HYPERLINK("http://www.broadinstitute.org/gsea/msigdb/cards/GOBP_FOREBRAIN_REGIONALIZATION.html","GOBP_FOREBRAIN_REGIONALIZATION")</f>
        <v>GOBP_FOREBRAIN_REGIONALIZATION</v>
      </c>
      <c r="C6460" s="4">
        <v>27</v>
      </c>
      <c r="D6460" s="3">
        <v>-1.7385596000000001</v>
      </c>
      <c r="E6460" s="1">
        <v>0</v>
      </c>
      <c r="F6460" s="2">
        <v>5.3537846E-2</v>
      </c>
    </row>
    <row r="6461" spans="1:6" x14ac:dyDescent="0.25">
      <c r="A6461" t="s">
        <v>10</v>
      </c>
      <c r="B6461" s="5" t="str">
        <f>HYPERLINK("http://www.broadinstitute.org/gsea/msigdb/cards/REACTOME_CHROMATIN_MODIFYING_ENZYMES.html","REACTOME_CHROMATIN_MODIFYING_ENZYMES")</f>
        <v>REACTOME_CHROMATIN_MODIFYING_ENZYMES</v>
      </c>
      <c r="C6461" s="4">
        <v>196</v>
      </c>
      <c r="D6461" s="3">
        <v>-1.7391785</v>
      </c>
      <c r="E6461" s="1">
        <v>0</v>
      </c>
      <c r="F6461" s="2">
        <v>5.3570184999999999E-2</v>
      </c>
    </row>
    <row r="6462" spans="1:6" x14ac:dyDescent="0.25">
      <c r="A6462" t="s">
        <v>10</v>
      </c>
      <c r="B6462" s="5" t="str">
        <f>HYPERLINK("http://www.broadinstitute.org/gsea/msigdb/cards/REACTOME_ACTIVATION_OF_THE_MRNA_UPON_BINDING_OF_THE_CAP_BINDING_COMPLEX_AND_EIFS_AND_SUBSEQUENT_BINDING_TO_43S.html","REACTOME_ACTIVATION_OF_THE_MRNA_UPON_BINDING_OF_THE_CAP_BINDING_COMPLEX_AND_EIFS_AND_SUBSEQUENT_BINDING_TO_43S")</f>
        <v>REACTOME_ACTIVATION_OF_THE_MRNA_UPON_BINDING_OF_THE_CAP_BINDING_COMPLEX_AND_EIFS_AND_SUBSEQUENT_BINDING_TO_43S</v>
      </c>
      <c r="C6462" s="4">
        <v>58</v>
      </c>
      <c r="D6462" s="3">
        <v>-1.7394244999999999</v>
      </c>
      <c r="E6462" s="1">
        <v>2.6109660000000002E-3</v>
      </c>
      <c r="F6462" s="2">
        <v>5.3756909999999998E-2</v>
      </c>
    </row>
    <row r="6463" spans="1:6" x14ac:dyDescent="0.25">
      <c r="A6463" t="s">
        <v>7</v>
      </c>
      <c r="B6463" s="5" t="str">
        <f>HYPERLINK("http://www.broadinstitute.org/gsea/msigdb/cards/GOCC_SARCOPLASMIC_RETICULUM.html","GOCC_SARCOPLASMIC_RETICULUM")</f>
        <v>GOCC_SARCOPLASMIC_RETICULUM</v>
      </c>
      <c r="C6463" s="4">
        <v>76</v>
      </c>
      <c r="D6463" s="3">
        <v>-1.7397372</v>
      </c>
      <c r="E6463" s="1">
        <v>2.8409092E-3</v>
      </c>
      <c r="F6463" s="2">
        <v>5.3930896999999998E-2</v>
      </c>
    </row>
    <row r="6464" spans="1:6" x14ac:dyDescent="0.25">
      <c r="A6464" t="s">
        <v>7</v>
      </c>
      <c r="B6464" s="5" t="str">
        <f>HYPERLINK("http://www.broadinstitute.org/gsea/msigdb/cards/GOCC_PROTON_TRANSPORTING_TWO_SECTOR_ATPASE_COMPLEX_CATALYTIC_DOMAIN.html","GOCC_PROTON_TRANSPORTING_TWO_SECTOR_ATPASE_COMPLEX_CATALYTIC_DOMAIN")</f>
        <v>GOCC_PROTON_TRANSPORTING_TWO_SECTOR_ATPASE_COMPLEX_CATALYTIC_DOMAIN</v>
      </c>
      <c r="C6464" s="4">
        <v>16</v>
      </c>
      <c r="D6464" s="3">
        <v>-1.7412251000000001</v>
      </c>
      <c r="E6464" s="1">
        <v>6.6079297E-3</v>
      </c>
      <c r="F6464" s="2">
        <v>5.3563073000000003E-2</v>
      </c>
    </row>
    <row r="6465" spans="1:6" x14ac:dyDescent="0.25">
      <c r="A6465" t="s">
        <v>6</v>
      </c>
      <c r="B6465" s="5" t="str">
        <f>HYPERLINK("http://www.broadinstitute.org/gsea/msigdb/cards/GOBP_RIBOSE_PHOSPHATE_BIOSYNTHETIC_PROCESS.html","GOBP_RIBOSE_PHOSPHATE_BIOSYNTHETIC_PROCESS")</f>
        <v>GOBP_RIBOSE_PHOSPHATE_BIOSYNTHETIC_PROCESS</v>
      </c>
      <c r="C6465" s="4">
        <v>201</v>
      </c>
      <c r="D6465" s="3">
        <v>-1.7421066999999999</v>
      </c>
      <c r="E6465" s="1">
        <v>0</v>
      </c>
      <c r="F6465" s="2">
        <v>5.3467533999999997E-2</v>
      </c>
    </row>
    <row r="6466" spans="1:6" x14ac:dyDescent="0.25">
      <c r="A6466" t="s">
        <v>6</v>
      </c>
      <c r="B6466" s="5" t="str">
        <f>HYPERLINK("http://www.broadinstitute.org/gsea/msigdb/cards/GOBP_MITOCHONDRIAL_CYTOCHROME_C_OXIDASE_ASSEMBLY.html","GOBP_MITOCHONDRIAL_CYTOCHROME_C_OXIDASE_ASSEMBLY")</f>
        <v>GOBP_MITOCHONDRIAL_CYTOCHROME_C_OXIDASE_ASSEMBLY</v>
      </c>
      <c r="C6466" s="4">
        <v>22</v>
      </c>
      <c r="D6466" s="3">
        <v>-1.7423761</v>
      </c>
      <c r="E6466" s="1">
        <v>2.4752475E-3</v>
      </c>
      <c r="F6466" s="2">
        <v>5.3653840000000001E-2</v>
      </c>
    </row>
    <row r="6467" spans="1:6" x14ac:dyDescent="0.25">
      <c r="A6467" t="s">
        <v>5</v>
      </c>
      <c r="B6467" s="5" t="str">
        <f>HYPERLINK("http://www.broadinstitute.org/gsea/msigdb/cards/BIOCARTA_VDR_PATHWAY.html","BIOCARTA_VDR_PATHWAY")</f>
        <v>BIOCARTA_VDR_PATHWAY</v>
      </c>
      <c r="C6467" s="4">
        <v>22</v>
      </c>
      <c r="D6467" s="3">
        <v>-1.7436616</v>
      </c>
      <c r="E6467" s="1">
        <v>7.2289156E-3</v>
      </c>
      <c r="F6467" s="2">
        <v>5.3421219999999998E-2</v>
      </c>
    </row>
    <row r="6468" spans="1:6" x14ac:dyDescent="0.25">
      <c r="A6468" t="s">
        <v>7</v>
      </c>
      <c r="B6468" s="5" t="str">
        <f>HYPERLINK("http://www.broadinstitute.org/gsea/msigdb/cards/GOCC_CYTOSOLIC_SMALL_RIBOSOMAL_SUBUNIT.html","GOCC_CYTOSOLIC_SMALL_RIBOSOMAL_SUBUNIT")</f>
        <v>GOCC_CYTOSOLIC_SMALL_RIBOSOMAL_SUBUNIT</v>
      </c>
      <c r="C6468" s="4">
        <v>42</v>
      </c>
      <c r="D6468" s="3">
        <v>-1.7469403999999999</v>
      </c>
      <c r="E6468" s="1">
        <v>2.6109660000000002E-3</v>
      </c>
      <c r="F6468" s="2">
        <v>5.1931049999999999E-2</v>
      </c>
    </row>
    <row r="6469" spans="1:6" x14ac:dyDescent="0.25">
      <c r="A6469" t="s">
        <v>6</v>
      </c>
      <c r="B6469" s="5" t="str">
        <f>HYPERLINK("http://www.broadinstitute.org/gsea/msigdb/cards/GOBP_REGULATION_OF_RNA_SPLICING.html","GOBP_REGULATION_OF_RNA_SPLICING")</f>
        <v>GOBP_REGULATION_OF_RNA_SPLICING</v>
      </c>
      <c r="C6469" s="4">
        <v>178</v>
      </c>
      <c r="D6469" s="3">
        <v>-1.7486569000000001</v>
      </c>
      <c r="E6469" s="1">
        <v>0</v>
      </c>
      <c r="F6469" s="2">
        <v>5.155531E-2</v>
      </c>
    </row>
    <row r="6470" spans="1:6" x14ac:dyDescent="0.25">
      <c r="A6470" t="s">
        <v>6</v>
      </c>
      <c r="B6470" s="5" t="str">
        <f>HYPERLINK("http://www.broadinstitute.org/gsea/msigdb/cards/GOBP_TONGUE_DEVELOPMENT.html","GOBP_TONGUE_DEVELOPMENT")</f>
        <v>GOBP_TONGUE_DEVELOPMENT</v>
      </c>
      <c r="C6470" s="4">
        <v>22</v>
      </c>
      <c r="D6470" s="3">
        <v>-1.7496524</v>
      </c>
      <c r="E6470" s="1">
        <v>9.9502484999999998E-3</v>
      </c>
      <c r="F6470" s="2">
        <v>5.1398195000000001E-2</v>
      </c>
    </row>
    <row r="6471" spans="1:6" x14ac:dyDescent="0.25">
      <c r="A6471" t="s">
        <v>10</v>
      </c>
      <c r="B6471" s="5" t="str">
        <f>HYPERLINK("http://www.broadinstitute.org/gsea/msigdb/cards/REACTOME_MAJOR_PATHWAY_OF_RRNA_PROCESSING_IN_THE_NUCLEOLUS_AND_CYTOSOL.html","REACTOME_MAJOR_PATHWAY_OF_RRNA_PROCESSING_IN_THE_NUCLEOLUS_AND_CYTOSOL")</f>
        <v>REACTOME_MAJOR_PATHWAY_OF_RRNA_PROCESSING_IN_THE_NUCLEOLUS_AND_CYTOSOL</v>
      </c>
      <c r="C6471" s="4">
        <v>166</v>
      </c>
      <c r="D6471" s="3">
        <v>-1.7498593</v>
      </c>
      <c r="E6471" s="1">
        <v>3.1847134000000002E-3</v>
      </c>
      <c r="F6471" s="2">
        <v>5.1616046999999998E-2</v>
      </c>
    </row>
    <row r="6472" spans="1:6" x14ac:dyDescent="0.25">
      <c r="A6472" t="s">
        <v>7</v>
      </c>
      <c r="B6472" s="5" t="str">
        <f>HYPERLINK("http://www.broadinstitute.org/gsea/msigdb/cards/GOCC_INO80_TYPE_COMPLEX.html","GOCC_INO80_TYPE_COMPLEX")</f>
        <v>GOCC_INO80_TYPE_COMPLEX</v>
      </c>
      <c r="C6472" s="4">
        <v>27</v>
      </c>
      <c r="D6472" s="3">
        <v>-1.7524914</v>
      </c>
      <c r="E6472" s="1">
        <v>1.0362694E-2</v>
      </c>
      <c r="F6472" s="2">
        <v>5.0794110000000003E-2</v>
      </c>
    </row>
    <row r="6473" spans="1:6" x14ac:dyDescent="0.25">
      <c r="A6473" t="s">
        <v>6</v>
      </c>
      <c r="B6473" s="5" t="str">
        <f>HYPERLINK("http://www.broadinstitute.org/gsea/msigdb/cards/GOBP_POSITIVE_REGULATION_OF_DNA_REPAIR.html","GOBP_POSITIVE_REGULATION_OF_DNA_REPAIR")</f>
        <v>GOBP_POSITIVE_REGULATION_OF_DNA_REPAIR</v>
      </c>
      <c r="C6473" s="4">
        <v>130</v>
      </c>
      <c r="D6473" s="3">
        <v>-1.7540871</v>
      </c>
      <c r="E6473" s="1">
        <v>0</v>
      </c>
      <c r="F6473" s="2">
        <v>5.0407170000000001E-2</v>
      </c>
    </row>
    <row r="6474" spans="1:6" x14ac:dyDescent="0.25">
      <c r="A6474" t="s">
        <v>8</v>
      </c>
      <c r="B6474" s="5" t="str">
        <f>HYPERLINK("http://www.broadinstitute.org/gsea/msigdb/cards/GOMF_ELECTRON_TRANSFER_ACTIVITY.html","GOMF_ELECTRON_TRANSFER_ACTIVITY")</f>
        <v>GOMF_ELECTRON_TRANSFER_ACTIVITY</v>
      </c>
      <c r="C6474" s="4">
        <v>37</v>
      </c>
      <c r="D6474" s="3">
        <v>-1.7564287999999999</v>
      </c>
      <c r="E6474" s="1">
        <v>0</v>
      </c>
      <c r="F6474" s="2">
        <v>4.9671352000000002E-2</v>
      </c>
    </row>
    <row r="6475" spans="1:6" x14ac:dyDescent="0.25">
      <c r="A6475" t="s">
        <v>6</v>
      </c>
      <c r="B6475" s="5" t="str">
        <f>HYPERLINK("http://www.broadinstitute.org/gsea/msigdb/cards/GOBP_EMBRYONIC_DIGESTIVE_TRACT_MORPHOGENESIS.html","GOBP_EMBRYONIC_DIGESTIVE_TRACT_MORPHOGENESIS")</f>
        <v>GOBP_EMBRYONIC_DIGESTIVE_TRACT_MORPHOGENESIS</v>
      </c>
      <c r="C6475" s="4">
        <v>20</v>
      </c>
      <c r="D6475" s="3">
        <v>-1.7605579</v>
      </c>
      <c r="E6475" s="1">
        <v>7.1090045000000001E-3</v>
      </c>
      <c r="F6475" s="2">
        <v>4.8206117E-2</v>
      </c>
    </row>
    <row r="6476" spans="1:6" x14ac:dyDescent="0.25">
      <c r="A6476" t="s">
        <v>6</v>
      </c>
      <c r="B6476" s="5" t="str">
        <f>HYPERLINK("http://www.broadinstitute.org/gsea/msigdb/cards/GOBP_REGULATION_OF_PROTEIN_TARGETING_TO_MITOCHONDRION.html","GOBP_REGULATION_OF_PROTEIN_TARGETING_TO_MITOCHONDRION")</f>
        <v>GOBP_REGULATION_OF_PROTEIN_TARGETING_TO_MITOCHONDRION</v>
      </c>
      <c r="C6476" s="4">
        <v>21</v>
      </c>
      <c r="D6476" s="3">
        <v>-1.7614491999999999</v>
      </c>
      <c r="E6476" s="1">
        <v>1.2406947999999999E-2</v>
      </c>
      <c r="F6476" s="2">
        <v>4.8154145000000002E-2</v>
      </c>
    </row>
    <row r="6477" spans="1:6" x14ac:dyDescent="0.25">
      <c r="A6477" t="s">
        <v>6</v>
      </c>
      <c r="B6477" s="5" t="str">
        <f>HYPERLINK("http://www.broadinstitute.org/gsea/msigdb/cards/GOBP_CYTOPLASMIC_TRANSLATION.html","GOBP_CYTOPLASMIC_TRANSLATION")</f>
        <v>GOBP_CYTOPLASMIC_TRANSLATION</v>
      </c>
      <c r="C6477" s="4">
        <v>136</v>
      </c>
      <c r="D6477" s="3">
        <v>-1.765862</v>
      </c>
      <c r="E6477" s="1">
        <v>0</v>
      </c>
      <c r="F6477" s="2">
        <v>4.6535699999999999E-2</v>
      </c>
    </row>
    <row r="6478" spans="1:6" x14ac:dyDescent="0.25">
      <c r="A6478" t="s">
        <v>6</v>
      </c>
      <c r="B6478" s="5" t="str">
        <f>HYPERLINK("http://www.broadinstitute.org/gsea/msigdb/cards/GOBP_PROTEIN_LOCALIZATION_TO_MITOCHONDRION.html","GOBP_PROTEIN_LOCALIZATION_TO_MITOCHONDRION")</f>
        <v>GOBP_PROTEIN_LOCALIZATION_TO_MITOCHONDRION</v>
      </c>
      <c r="C6478" s="4">
        <v>103</v>
      </c>
      <c r="D6478" s="3">
        <v>-1.7689162</v>
      </c>
      <c r="E6478" s="1">
        <v>0</v>
      </c>
      <c r="F6478" s="2">
        <v>4.5613118000000001E-2</v>
      </c>
    </row>
    <row r="6479" spans="1:6" x14ac:dyDescent="0.25">
      <c r="A6479" t="s">
        <v>6</v>
      </c>
      <c r="B6479" s="5" t="str">
        <f>HYPERLINK("http://www.broadinstitute.org/gsea/msigdb/cards/GOBP_POSITIVE_REGULATION_OF_MUSCLE_TISSUE_DEVELOPMENT.html","GOBP_POSITIVE_REGULATION_OF_MUSCLE_TISSUE_DEVELOPMENT")</f>
        <v>GOBP_POSITIVE_REGULATION_OF_MUSCLE_TISSUE_DEVELOPMENT</v>
      </c>
      <c r="C6479" s="4">
        <v>28</v>
      </c>
      <c r="D6479" s="3">
        <v>-1.7689408</v>
      </c>
      <c r="E6479" s="1">
        <v>2.7247956000000001E-3</v>
      </c>
      <c r="F6479" s="2">
        <v>4.5915890000000001E-2</v>
      </c>
    </row>
    <row r="6480" spans="1:6" x14ac:dyDescent="0.25">
      <c r="A6480" t="s">
        <v>6</v>
      </c>
      <c r="B6480" s="5" t="str">
        <f>HYPERLINK("http://www.broadinstitute.org/gsea/msigdb/cards/GOBP_NEURON_FATE_COMMITMENT.html","GOBP_NEURON_FATE_COMMITMENT")</f>
        <v>GOBP_NEURON_FATE_COMMITMENT</v>
      </c>
      <c r="C6480" s="4">
        <v>86</v>
      </c>
      <c r="D6480" s="3">
        <v>-1.7689771999999999</v>
      </c>
      <c r="E6480" s="1">
        <v>2.8328612E-3</v>
      </c>
      <c r="F6480" s="2">
        <v>4.6210830000000001E-2</v>
      </c>
    </row>
    <row r="6481" spans="1:6" x14ac:dyDescent="0.25">
      <c r="A6481" t="s">
        <v>6</v>
      </c>
      <c r="B6481" s="5" t="str">
        <f>HYPERLINK("http://www.broadinstitute.org/gsea/msigdb/cards/GOBP_RIBONUCLEOPROTEIN_COMPLEX_BIOGENESIS.html","GOBP_RIBONUCLEOPROTEIN_COMPLEX_BIOGENESIS")</f>
        <v>GOBP_RIBONUCLEOPROTEIN_COMPLEX_BIOGENESIS</v>
      </c>
      <c r="C6481" s="4">
        <v>423</v>
      </c>
      <c r="D6481" s="3">
        <v>-1.7703503</v>
      </c>
      <c r="E6481" s="1">
        <v>0</v>
      </c>
      <c r="F6481" s="2">
        <v>4.5882421999999999E-2</v>
      </c>
    </row>
    <row r="6482" spans="1:6" x14ac:dyDescent="0.25">
      <c r="A6482" t="s">
        <v>7</v>
      </c>
      <c r="B6482" s="5" t="str">
        <f>HYPERLINK("http://www.broadinstitute.org/gsea/msigdb/cards/GOCC_U12_TYPE_SPLICEOSOMAL_COMPLEX.html","GOCC_U12_TYPE_SPLICEOSOMAL_COMPLEX")</f>
        <v>GOCC_U12_TYPE_SPLICEOSOMAL_COMPLEX</v>
      </c>
      <c r="C6482" s="4">
        <v>27</v>
      </c>
      <c r="D6482" s="3">
        <v>-1.7742779</v>
      </c>
      <c r="E6482" s="1">
        <v>2.2831050000000001E-3</v>
      </c>
      <c r="F6482" s="2">
        <v>4.4563007000000002E-2</v>
      </c>
    </row>
    <row r="6483" spans="1:6" x14ac:dyDescent="0.25">
      <c r="A6483" t="s">
        <v>7</v>
      </c>
      <c r="B6483" s="5" t="str">
        <f>HYPERLINK("http://www.broadinstitute.org/gsea/msigdb/cards/GOCC_METHYLTRANSFERASE_COMPLEX.html","GOCC_METHYLTRANSFERASE_COMPLEX")</f>
        <v>GOCC_METHYLTRANSFERASE_COMPLEX</v>
      </c>
      <c r="C6483" s="4">
        <v>102</v>
      </c>
      <c r="D6483" s="3">
        <v>-1.7802952999999999</v>
      </c>
      <c r="E6483" s="1">
        <v>0</v>
      </c>
      <c r="F6483" s="2">
        <v>4.2596330000000002E-2</v>
      </c>
    </row>
    <row r="6484" spans="1:6" x14ac:dyDescent="0.25">
      <c r="A6484" t="s">
        <v>6</v>
      </c>
      <c r="B6484" s="5" t="str">
        <f>HYPERLINK("http://www.broadinstitute.org/gsea/msigdb/cards/GOBP_RNA_5_END_PROCESSING.html","GOBP_RNA_5_END_PROCESSING")</f>
        <v>GOBP_RNA_5_END_PROCESSING</v>
      </c>
      <c r="C6484" s="4">
        <v>18</v>
      </c>
      <c r="D6484" s="3">
        <v>-1.7822849000000001</v>
      </c>
      <c r="E6484" s="1">
        <v>6.9124423999999997E-3</v>
      </c>
      <c r="F6484" s="2">
        <v>4.2118943999999998E-2</v>
      </c>
    </row>
    <row r="6485" spans="1:6" x14ac:dyDescent="0.25">
      <c r="A6485" t="s">
        <v>7</v>
      </c>
      <c r="B6485" s="5" t="str">
        <f>HYPERLINK("http://www.broadinstitute.org/gsea/msigdb/cards/GOCC_CONTRACTILE_FIBER.html","GOCC_CONTRACTILE_FIBER")</f>
        <v>GOCC_CONTRACTILE_FIBER</v>
      </c>
      <c r="C6485" s="4">
        <v>239</v>
      </c>
      <c r="D6485" s="3">
        <v>-1.784179</v>
      </c>
      <c r="E6485" s="1">
        <v>0</v>
      </c>
      <c r="F6485" s="2">
        <v>4.1728750000000002E-2</v>
      </c>
    </row>
    <row r="6486" spans="1:6" x14ac:dyDescent="0.25">
      <c r="A6486" t="s">
        <v>6</v>
      </c>
      <c r="B6486" s="5" t="str">
        <f>HYPERLINK("http://www.broadinstitute.org/gsea/msigdb/cards/GOBP_ALTERNATIVE_MRNA_SPLICING_VIA_SPLICEOSOME.html","GOBP_ALTERNATIVE_MRNA_SPLICING_VIA_SPLICEOSOME")</f>
        <v>GOBP_ALTERNATIVE_MRNA_SPLICING_VIA_SPLICEOSOME</v>
      </c>
      <c r="C6486" s="4">
        <v>74</v>
      </c>
      <c r="D6486" s="3">
        <v>-1.786627</v>
      </c>
      <c r="E6486" s="1">
        <v>0</v>
      </c>
      <c r="F6486" s="2">
        <v>4.0957298000000003E-2</v>
      </c>
    </row>
    <row r="6487" spans="1:6" x14ac:dyDescent="0.25">
      <c r="A6487" t="s">
        <v>6</v>
      </c>
      <c r="B6487" s="5" t="str">
        <f>HYPERLINK("http://www.broadinstitute.org/gsea/msigdb/cards/GOBP_REGULATION_OF_MUSCLE_TISSUE_DEVELOPMENT.html","GOBP_REGULATION_OF_MUSCLE_TISSUE_DEVELOPMENT")</f>
        <v>GOBP_REGULATION_OF_MUSCLE_TISSUE_DEVELOPMENT</v>
      </c>
      <c r="C6487" s="4">
        <v>56</v>
      </c>
      <c r="D6487" s="3">
        <v>-1.790567</v>
      </c>
      <c r="E6487" s="1">
        <v>2.6595744000000002E-3</v>
      </c>
      <c r="F6487" s="2">
        <v>3.9727060000000002E-2</v>
      </c>
    </row>
    <row r="6488" spans="1:6" x14ac:dyDescent="0.25">
      <c r="A6488" t="s">
        <v>6</v>
      </c>
      <c r="B6488" s="5" t="str">
        <f>HYPERLINK("http://www.broadinstitute.org/gsea/msigdb/cards/GOBP_CARDIAC_RIGHT_VENTRICLE_MORPHOGENESIS.html","GOBP_CARDIAC_RIGHT_VENTRICLE_MORPHOGENESIS")</f>
        <v>GOBP_CARDIAC_RIGHT_VENTRICLE_MORPHOGENESIS</v>
      </c>
      <c r="C6488" s="4">
        <v>19</v>
      </c>
      <c r="D6488" s="3">
        <v>-1.7929902</v>
      </c>
      <c r="E6488" s="1">
        <v>9.6852299999999995E-3</v>
      </c>
      <c r="F6488" s="2">
        <v>3.9178587000000001E-2</v>
      </c>
    </row>
    <row r="6489" spans="1:6" x14ac:dyDescent="0.25">
      <c r="A6489" t="s">
        <v>10</v>
      </c>
      <c r="B6489" s="5" t="str">
        <f>HYPERLINK("http://www.broadinstitute.org/gsea/msigdb/cards/REACTOME_MITOCHONDRIAL_BIOGENESIS.html","REACTOME_MITOCHONDRIAL_BIOGENESIS")</f>
        <v>REACTOME_MITOCHONDRIAL_BIOGENESIS</v>
      </c>
      <c r="C6489" s="4">
        <v>25</v>
      </c>
      <c r="D6489" s="3">
        <v>-1.795118</v>
      </c>
      <c r="E6489" s="1">
        <v>2.3696682999999998E-3</v>
      </c>
      <c r="F6489" s="2">
        <v>3.8651742000000003E-2</v>
      </c>
    </row>
    <row r="6490" spans="1:6" x14ac:dyDescent="0.25">
      <c r="A6490" t="s">
        <v>7</v>
      </c>
      <c r="B6490" s="5" t="str">
        <f>HYPERLINK("http://www.broadinstitute.org/gsea/msigdb/cards/GOCC_TRANSPORTER_COMPLEX.html","GOCC_TRANSPORTER_COMPLEX")</f>
        <v>GOCC_TRANSPORTER_COMPLEX</v>
      </c>
      <c r="C6490" s="4">
        <v>391</v>
      </c>
      <c r="D6490" s="3">
        <v>-1.8003884999999999</v>
      </c>
      <c r="E6490" s="1">
        <v>0</v>
      </c>
      <c r="F6490" s="2">
        <v>3.7051484000000003E-2</v>
      </c>
    </row>
    <row r="6491" spans="1:6" x14ac:dyDescent="0.25">
      <c r="A6491" t="s">
        <v>6</v>
      </c>
      <c r="B6491" s="5" t="str">
        <f>HYPERLINK("http://www.broadinstitute.org/gsea/msigdb/cards/GOBP_LYMPHOID_PROGENITOR_CELL_DIFFERENTIATION.html","GOBP_LYMPHOID_PROGENITOR_CELL_DIFFERENTIATION")</f>
        <v>GOBP_LYMPHOID_PROGENITOR_CELL_DIFFERENTIATION</v>
      </c>
      <c r="C6491" s="4">
        <v>25</v>
      </c>
      <c r="D6491" s="3">
        <v>-1.8021621999999999</v>
      </c>
      <c r="E6491" s="1">
        <v>2.3419203E-3</v>
      </c>
      <c r="F6491" s="2">
        <v>3.6766946000000002E-2</v>
      </c>
    </row>
    <row r="6492" spans="1:6" x14ac:dyDescent="0.25">
      <c r="A6492" t="s">
        <v>8</v>
      </c>
      <c r="B6492" s="5" t="str">
        <f>HYPERLINK("http://www.broadinstitute.org/gsea/msigdb/cards/GOMF_HISTONE_BINDING.html","GOMF_HISTONE_BINDING")</f>
        <v>GOMF_HISTONE_BINDING</v>
      </c>
      <c r="C6492" s="4">
        <v>237</v>
      </c>
      <c r="D6492" s="3">
        <v>-1.8133627999999999</v>
      </c>
      <c r="E6492" s="1">
        <v>0</v>
      </c>
      <c r="F6492" s="2">
        <v>3.3425320000000001E-2</v>
      </c>
    </row>
    <row r="6493" spans="1:6" x14ac:dyDescent="0.25">
      <c r="A6493" t="s">
        <v>10</v>
      </c>
      <c r="B6493" s="5" t="str">
        <f>HYPERLINK("http://www.broadinstitute.org/gsea/msigdb/cards/REACTOME_TCF_DEPENDENT_SIGNALING_IN_RESPONSE_TO_WNT.html","REACTOME_TCF_DEPENDENT_SIGNALING_IN_RESPONSE_TO_WNT")</f>
        <v>REACTOME_TCF_DEPENDENT_SIGNALING_IN_RESPONSE_TO_WNT</v>
      </c>
      <c r="C6493" s="4">
        <v>153</v>
      </c>
      <c r="D6493" s="3">
        <v>-1.8142402</v>
      </c>
      <c r="E6493" s="1">
        <v>0</v>
      </c>
      <c r="F6493" s="2">
        <v>3.338497E-2</v>
      </c>
    </row>
    <row r="6494" spans="1:6" x14ac:dyDescent="0.25">
      <c r="A6494" t="s">
        <v>6</v>
      </c>
      <c r="B6494" s="5" t="str">
        <f>HYPERLINK("http://www.broadinstitute.org/gsea/msigdb/cards/GOBP_NEGATIVE_REGULATION_OF_RNA_SPLICING.html","GOBP_NEGATIVE_REGULATION_OF_RNA_SPLICING")</f>
        <v>GOBP_NEGATIVE_REGULATION_OF_RNA_SPLICING</v>
      </c>
      <c r="C6494" s="4">
        <v>29</v>
      </c>
      <c r="D6494" s="3">
        <v>-1.8248949999999999</v>
      </c>
      <c r="E6494" s="1">
        <v>7.4074073000000001E-3</v>
      </c>
      <c r="F6494" s="2">
        <v>3.0062739000000002E-2</v>
      </c>
    </row>
    <row r="6495" spans="1:6" x14ac:dyDescent="0.25">
      <c r="A6495" t="s">
        <v>6</v>
      </c>
      <c r="B6495" s="5" t="str">
        <f>HYPERLINK("http://www.broadinstitute.org/gsea/msigdb/cards/GOBP_POSITIVE_REGULATION_OF_MYOBLAST_DIFFERENTIATION.html","GOBP_POSITIVE_REGULATION_OF_MYOBLAST_DIFFERENTIATION")</f>
        <v>GOBP_POSITIVE_REGULATION_OF_MYOBLAST_DIFFERENTIATION</v>
      </c>
      <c r="C6495" s="4">
        <v>49</v>
      </c>
      <c r="D6495" s="3">
        <v>-1.8256025</v>
      </c>
      <c r="E6495" s="1">
        <v>2.4038461999999999E-3</v>
      </c>
      <c r="F6495" s="2">
        <v>3.0121846000000001E-2</v>
      </c>
    </row>
    <row r="6496" spans="1:6" x14ac:dyDescent="0.25">
      <c r="A6496" t="s">
        <v>10</v>
      </c>
      <c r="B6496" s="5" t="str">
        <f>HYPERLINK("http://www.broadinstitute.org/gsea/msigdb/cards/REACTOME_TRANSCRIPTIONAL_REGULATION_BY_RUNX1.html","REACTOME_TRANSCRIPTIONAL_REGULATION_BY_RUNX1")</f>
        <v>REACTOME_TRANSCRIPTIONAL_REGULATION_BY_RUNX1</v>
      </c>
      <c r="C6496" s="4">
        <v>184</v>
      </c>
      <c r="D6496" s="3">
        <v>-1.826481</v>
      </c>
      <c r="E6496" s="1">
        <v>0</v>
      </c>
      <c r="F6496" s="2">
        <v>3.0062248999999999E-2</v>
      </c>
    </row>
    <row r="6497" spans="1:6" x14ac:dyDescent="0.25">
      <c r="A6497" t="s">
        <v>6</v>
      </c>
      <c r="B6497" s="5" t="str">
        <f>HYPERLINK("http://www.broadinstitute.org/gsea/msigdb/cards/GOBP_REGULATION_OF_MESENCHYMAL_CELL_PROLIFERATION.html","GOBP_REGULATION_OF_MESENCHYMAL_CELL_PROLIFERATION")</f>
        <v>GOBP_REGULATION_OF_MESENCHYMAL_CELL_PROLIFERATION</v>
      </c>
      <c r="C6497" s="4">
        <v>42</v>
      </c>
      <c r="D6497" s="3">
        <v>-1.8295980999999999</v>
      </c>
      <c r="E6497" s="1">
        <v>2.6178009999999999E-3</v>
      </c>
      <c r="F6497" s="2">
        <v>2.9457783000000001E-2</v>
      </c>
    </row>
    <row r="6498" spans="1:6" x14ac:dyDescent="0.25">
      <c r="A6498" t="s">
        <v>8</v>
      </c>
      <c r="B6498" s="5" t="str">
        <f>HYPERLINK("http://www.broadinstitute.org/gsea/msigdb/cards/GOMF_OXIDOREDUCTASE_ACTIVITY_ACTING_ON_NAD_P_H_QUINONE_OR_SIMILAR_COMPOUND_AS_ACCEPTOR.html","GOMF_OXIDOREDUCTASE_ACTIVITY_ACTING_ON_NAD_P_H_QUINONE_OR_SIMILAR_COMPOUND_AS_ACCEPTOR")</f>
        <v>GOMF_OXIDOREDUCTASE_ACTIVITY_ACTING_ON_NAD_P_H_QUINONE_OR_SIMILAR_COMPOUND_AS_ACCEPTOR</v>
      </c>
      <c r="C6498" s="4">
        <v>30</v>
      </c>
      <c r="D6498" s="3">
        <v>-1.8314668999999999</v>
      </c>
      <c r="E6498" s="1">
        <v>2.7173914000000001E-3</v>
      </c>
      <c r="F6498" s="2">
        <v>2.9110868000000002E-2</v>
      </c>
    </row>
    <row r="6499" spans="1:6" x14ac:dyDescent="0.25">
      <c r="A6499" t="s">
        <v>8</v>
      </c>
      <c r="B6499" s="5" t="str">
        <f>HYPERLINK("http://www.broadinstitute.org/gsea/msigdb/cards/GOMF_LYSINE_ACETYLATED_HISTONE_BINDING.html","GOMF_LYSINE_ACETYLATED_HISTONE_BINDING")</f>
        <v>GOMF_LYSINE_ACETYLATED_HISTONE_BINDING</v>
      </c>
      <c r="C6499" s="4">
        <v>25</v>
      </c>
      <c r="D6499" s="3">
        <v>-1.8331823</v>
      </c>
      <c r="E6499" s="1">
        <v>0</v>
      </c>
      <c r="F6499" s="2">
        <v>2.8840436000000001E-2</v>
      </c>
    </row>
    <row r="6500" spans="1:6" x14ac:dyDescent="0.25">
      <c r="A6500" t="s">
        <v>10</v>
      </c>
      <c r="B6500" s="5" t="str">
        <f>HYPERLINK("http://www.broadinstitute.org/gsea/msigdb/cards/REACTOME_MRNA_SPLICING_MINOR_PATHWAY.html","REACTOME_MRNA_SPLICING_MINOR_PATHWAY")</f>
        <v>REACTOME_MRNA_SPLICING_MINOR_PATHWAY</v>
      </c>
      <c r="C6500" s="4">
        <v>47</v>
      </c>
      <c r="D6500" s="3">
        <v>-1.8356777</v>
      </c>
      <c r="E6500" s="1">
        <v>0</v>
      </c>
      <c r="F6500" s="2">
        <v>2.8297292000000002E-2</v>
      </c>
    </row>
    <row r="6501" spans="1:6" x14ac:dyDescent="0.25">
      <c r="A6501" t="s">
        <v>8</v>
      </c>
      <c r="B6501" s="5" t="str">
        <f>HYPERLINK("http://www.broadinstitute.org/gsea/msigdb/cards/GOMF_PHOSPHATASE_INHIBITOR_ACTIVITY.html","GOMF_PHOSPHATASE_INHIBITOR_ACTIVITY")</f>
        <v>GOMF_PHOSPHATASE_INHIBITOR_ACTIVITY</v>
      </c>
      <c r="C6501" s="4">
        <v>43</v>
      </c>
      <c r="D6501" s="3">
        <v>-1.8465936999999999</v>
      </c>
      <c r="E6501" s="1">
        <v>2.3923443999999999E-3</v>
      </c>
      <c r="F6501" s="2">
        <v>2.5671879000000002E-2</v>
      </c>
    </row>
    <row r="6502" spans="1:6" x14ac:dyDescent="0.25">
      <c r="A6502" t="s">
        <v>8</v>
      </c>
      <c r="B6502" s="5" t="str">
        <f>HYPERLINK("http://www.broadinstitute.org/gsea/msigdb/cards/GOMF_NEUROTRANSMITTER_BINDING.html","GOMF_NEUROTRANSMITTER_BINDING")</f>
        <v>GOMF_NEUROTRANSMITTER_BINDING</v>
      </c>
      <c r="C6502" s="4">
        <v>21</v>
      </c>
      <c r="D6502" s="3">
        <v>-1.8472149</v>
      </c>
      <c r="E6502" s="1">
        <v>4.7281323999999996E-3</v>
      </c>
      <c r="F6502" s="2">
        <v>2.5726632999999999E-2</v>
      </c>
    </row>
    <row r="6503" spans="1:6" x14ac:dyDescent="0.25">
      <c r="A6503" t="s">
        <v>7</v>
      </c>
      <c r="B6503" s="5" t="str">
        <f>HYPERLINK("http://www.broadinstitute.org/gsea/msigdb/cards/GOCC_PROTON_TRANSPORTING_TWO_SECTOR_ATPASE_COMPLEX_PROTON_TRANSPORTING_DOMAIN.html","GOCC_PROTON_TRANSPORTING_TWO_SECTOR_ATPASE_COMPLEX_PROTON_TRANSPORTING_DOMAIN")</f>
        <v>GOCC_PROTON_TRANSPORTING_TWO_SECTOR_ATPASE_COMPLEX_PROTON_TRANSPORTING_DOMAIN</v>
      </c>
      <c r="C6503" s="4">
        <v>20</v>
      </c>
      <c r="D6503" s="3">
        <v>-1.8514052999999999</v>
      </c>
      <c r="E6503" s="1">
        <v>4.8076925000000003E-3</v>
      </c>
      <c r="F6503" s="2">
        <v>2.4852282999999999E-2</v>
      </c>
    </row>
    <row r="6504" spans="1:6" x14ac:dyDescent="0.25">
      <c r="A6504" t="s">
        <v>7</v>
      </c>
      <c r="B6504" s="5" t="str">
        <f>HYPERLINK("http://www.broadinstitute.org/gsea/msigdb/cards/GOCC_I_BAND.html","GOCC_I_BAND")</f>
        <v>GOCC_I_BAND</v>
      </c>
      <c r="C6504" s="4">
        <v>145</v>
      </c>
      <c r="D6504" s="3">
        <v>-1.8522737</v>
      </c>
      <c r="E6504" s="1">
        <v>0</v>
      </c>
      <c r="F6504" s="2">
        <v>2.4851796999999998E-2</v>
      </c>
    </row>
    <row r="6505" spans="1:6" x14ac:dyDescent="0.25">
      <c r="A6505" t="s">
        <v>6</v>
      </c>
      <c r="B6505" s="5" t="str">
        <f>HYPERLINK("http://www.broadinstitute.org/gsea/msigdb/cards/GOBP_REGULATION_OF_MITOCHONDRIAL_TRANSLATION.html","GOBP_REGULATION_OF_MITOCHONDRIAL_TRANSLATION")</f>
        <v>GOBP_REGULATION_OF_MITOCHONDRIAL_TRANSLATION</v>
      </c>
      <c r="C6505" s="4">
        <v>25</v>
      </c>
      <c r="D6505" s="3">
        <v>-1.8526465000000001</v>
      </c>
      <c r="E6505" s="1">
        <v>0</v>
      </c>
      <c r="F6505" s="2">
        <v>2.5002568999999999E-2</v>
      </c>
    </row>
    <row r="6506" spans="1:6" x14ac:dyDescent="0.25">
      <c r="A6506" t="s">
        <v>8</v>
      </c>
      <c r="B6506" s="5" t="str">
        <f>HYPERLINK("http://www.broadinstitute.org/gsea/msigdb/cards/GOMF_DNA_POLYMERASE_BINDING.html","GOMF_DNA_POLYMERASE_BINDING")</f>
        <v>GOMF_DNA_POLYMERASE_BINDING</v>
      </c>
      <c r="C6506" s="4">
        <v>22</v>
      </c>
      <c r="D6506" s="3">
        <v>-1.8591215999999999</v>
      </c>
      <c r="E6506" s="1">
        <v>4.6082950000000001E-3</v>
      </c>
      <c r="F6506" s="2">
        <v>2.3433136E-2</v>
      </c>
    </row>
    <row r="6507" spans="1:6" x14ac:dyDescent="0.25">
      <c r="A6507" t="s">
        <v>6</v>
      </c>
      <c r="B6507" s="5" t="str">
        <f>HYPERLINK("http://www.broadinstitute.org/gsea/msigdb/cards/GOBP_SPECIFICATION_OF_ANIMAL_ORGAN_IDENTITY.html","GOBP_SPECIFICATION_OF_ANIMAL_ORGAN_IDENTITY")</f>
        <v>GOBP_SPECIFICATION_OF_ANIMAL_ORGAN_IDENTITY</v>
      </c>
      <c r="C6507" s="4">
        <v>41</v>
      </c>
      <c r="D6507" s="3">
        <v>-1.8594683000000001</v>
      </c>
      <c r="E6507" s="1">
        <v>0</v>
      </c>
      <c r="F6507" s="2">
        <v>2.3545516999999998E-2</v>
      </c>
    </row>
    <row r="6508" spans="1:6" x14ac:dyDescent="0.25">
      <c r="A6508" t="s">
        <v>6</v>
      </c>
      <c r="B6508" s="5" t="str">
        <f>HYPERLINK("http://www.broadinstitute.org/gsea/msigdb/cards/GOBP_SKELETAL_MUSCLE_ADAPTATION.html","GOBP_SKELETAL_MUSCLE_ADAPTATION")</f>
        <v>GOBP_SKELETAL_MUSCLE_ADAPTATION</v>
      </c>
      <c r="C6508" s="4">
        <v>23</v>
      </c>
      <c r="D6508" s="3">
        <v>-1.8732108999999999</v>
      </c>
      <c r="E6508" s="1">
        <v>0</v>
      </c>
      <c r="F6508" s="2">
        <v>2.0164436000000001E-2</v>
      </c>
    </row>
    <row r="6509" spans="1:6" x14ac:dyDescent="0.25">
      <c r="A6509" t="s">
        <v>10</v>
      </c>
      <c r="B6509" s="5" t="str">
        <f>HYPERLINK("http://www.broadinstitute.org/gsea/msigdb/cards/REACTOME_TRANSCRIPTIONAL_REGULATION_BY_RUNX2.html","REACTOME_TRANSCRIPTIONAL_REGULATION_BY_RUNX2")</f>
        <v>REACTOME_TRANSCRIPTIONAL_REGULATION_BY_RUNX2</v>
      </c>
      <c r="C6509" s="4">
        <v>62</v>
      </c>
      <c r="D6509" s="3">
        <v>-1.8741418999999999</v>
      </c>
      <c r="E6509" s="1">
        <v>0</v>
      </c>
      <c r="F6509" s="2">
        <v>2.0160801999999999E-2</v>
      </c>
    </row>
    <row r="6510" spans="1:6" x14ac:dyDescent="0.25">
      <c r="A6510" t="s">
        <v>6</v>
      </c>
      <c r="B6510" s="5" t="str">
        <f>HYPERLINK("http://www.broadinstitute.org/gsea/msigdb/cards/GOBP_PROTEIN_MATURATION_BY_IRON_SULFUR_CLUSTER_TRANSFER.html","GOBP_PROTEIN_MATURATION_BY_IRON_SULFUR_CLUSTER_TRANSFER")</f>
        <v>GOBP_PROTEIN_MATURATION_BY_IRON_SULFUR_CLUSTER_TRANSFER</v>
      </c>
      <c r="C6510" s="4">
        <v>15</v>
      </c>
      <c r="D6510" s="3">
        <v>-1.8895447000000001</v>
      </c>
      <c r="E6510" s="1">
        <v>4.597701E-3</v>
      </c>
      <c r="F6510" s="2">
        <v>1.7114676999999998E-2</v>
      </c>
    </row>
    <row r="6511" spans="1:6" x14ac:dyDescent="0.25">
      <c r="A6511" t="s">
        <v>7</v>
      </c>
      <c r="B6511" s="5" t="str">
        <f>HYPERLINK("http://www.broadinstitute.org/gsea/msigdb/cards/GOCC_EXON_EXON_JUNCTION_COMPLEX.html","GOCC_EXON_EXON_JUNCTION_COMPLEX")</f>
        <v>GOCC_EXON_EXON_JUNCTION_COMPLEX</v>
      </c>
      <c r="C6511" s="4">
        <v>23</v>
      </c>
      <c r="D6511" s="3">
        <v>-1.8898615000000001</v>
      </c>
      <c r="E6511" s="1">
        <v>0</v>
      </c>
      <c r="F6511" s="2">
        <v>1.7227862E-2</v>
      </c>
    </row>
    <row r="6512" spans="1:6" x14ac:dyDescent="0.25">
      <c r="A6512" t="s">
        <v>6</v>
      </c>
      <c r="B6512" s="5" t="str">
        <f>HYPERLINK("http://www.broadinstitute.org/gsea/msigdb/cards/GOBP_CYTOCHROME_COMPLEX_ASSEMBLY.html","GOBP_CYTOCHROME_COMPLEX_ASSEMBLY")</f>
        <v>GOBP_CYTOCHROME_COMPLEX_ASSEMBLY</v>
      </c>
      <c r="C6512" s="4">
        <v>35</v>
      </c>
      <c r="D6512" s="3">
        <v>-1.8915192999999999</v>
      </c>
      <c r="E6512" s="1">
        <v>2.6525198000000002E-3</v>
      </c>
      <c r="F6512" s="2">
        <v>1.7066015E-2</v>
      </c>
    </row>
    <row r="6513" spans="1:6" x14ac:dyDescent="0.25">
      <c r="A6513" t="s">
        <v>6</v>
      </c>
      <c r="B6513" s="5" t="str">
        <f>HYPERLINK("http://www.broadinstitute.org/gsea/msigdb/cards/GOBP_PROTEIN_DNA_COMPLEX_DISASSEMBLY.html","GOBP_PROTEIN_DNA_COMPLEX_DISASSEMBLY")</f>
        <v>GOBP_PROTEIN_DNA_COMPLEX_DISASSEMBLY</v>
      </c>
      <c r="C6513" s="4">
        <v>17</v>
      </c>
      <c r="D6513" s="3">
        <v>-1.8966689999999999</v>
      </c>
      <c r="E6513" s="1">
        <v>0</v>
      </c>
      <c r="F6513" s="2">
        <v>1.6297434E-2</v>
      </c>
    </row>
    <row r="6514" spans="1:6" x14ac:dyDescent="0.25">
      <c r="A6514" t="s">
        <v>11</v>
      </c>
      <c r="B6514" s="5" t="str">
        <f>HYPERLINK("http://www.broadinstitute.org/gsea/msigdb/cards/WP_MRNA_PROCESSING.html","WP_MRNA_PROCESSING")</f>
        <v>WP_MRNA_PROCESSING</v>
      </c>
      <c r="C6514" s="4">
        <v>430</v>
      </c>
      <c r="D6514" s="3">
        <v>-1.9015390999999999</v>
      </c>
      <c r="E6514" s="1">
        <v>0</v>
      </c>
      <c r="F6514" s="2">
        <v>1.5545382999999999E-2</v>
      </c>
    </row>
    <row r="6515" spans="1:6" x14ac:dyDescent="0.25">
      <c r="A6515" t="s">
        <v>6</v>
      </c>
      <c r="B6515" s="5" t="str">
        <f>HYPERLINK("http://www.broadinstitute.org/gsea/msigdb/cards/GOBP_HEART_FIELD_SPECIFICATION.html","GOBP_HEART_FIELD_SPECIFICATION")</f>
        <v>GOBP_HEART_FIELD_SPECIFICATION</v>
      </c>
      <c r="C6515" s="4">
        <v>17</v>
      </c>
      <c r="D6515" s="3">
        <v>-1.9134355000000001</v>
      </c>
      <c r="E6515" s="1">
        <v>0</v>
      </c>
      <c r="F6515" s="2">
        <v>1.3574230499999999E-2</v>
      </c>
    </row>
    <row r="6516" spans="1:6" x14ac:dyDescent="0.25">
      <c r="A6516" t="s">
        <v>6</v>
      </c>
      <c r="B6516" s="5" t="str">
        <f>HYPERLINK("http://www.broadinstitute.org/gsea/msigdb/cards/GOBP_MIRNA_MEDIATED_GENE_SILENCING_BY_INHIBITION_OF_TRANSLATION.html","GOBP_MIRNA_MEDIATED_GENE_SILENCING_BY_INHIBITION_OF_TRANSLATION")</f>
        <v>GOBP_MIRNA_MEDIATED_GENE_SILENCING_BY_INHIBITION_OF_TRANSLATION</v>
      </c>
      <c r="C6516" s="4">
        <v>17</v>
      </c>
      <c r="D6516" s="3">
        <v>-1.9137919999999999</v>
      </c>
      <c r="E6516" s="1">
        <v>2.4752475E-3</v>
      </c>
      <c r="F6516" s="2">
        <v>1.3652131E-2</v>
      </c>
    </row>
    <row r="6517" spans="1:6" x14ac:dyDescent="0.25">
      <c r="A6517" t="s">
        <v>10</v>
      </c>
      <c r="B6517" s="5" t="str">
        <f>HYPERLINK("http://www.broadinstitute.org/gsea/msigdb/cards/REACTOME_RNA_POLYMERASE_I_TRANSCRIPTION.html","REACTOME_RNA_POLYMERASE_I_TRANSCRIPTION")</f>
        <v>REACTOME_RNA_POLYMERASE_I_TRANSCRIPTION</v>
      </c>
      <c r="C6517" s="4">
        <v>45</v>
      </c>
      <c r="D6517" s="3">
        <v>-1.9178493999999999</v>
      </c>
      <c r="E6517" s="1">
        <v>0</v>
      </c>
      <c r="F6517" s="2">
        <v>1.3134850999999999E-2</v>
      </c>
    </row>
    <row r="6518" spans="1:6" x14ac:dyDescent="0.25">
      <c r="A6518" t="s">
        <v>6</v>
      </c>
      <c r="B6518" s="5" t="str">
        <f>HYPERLINK("http://www.broadinstitute.org/gsea/msigdb/cards/GOBP_REGULATION_OF_MRNA_SPLICING_VIA_SPLICEOSOME.html","GOBP_REGULATION_OF_MRNA_SPLICING_VIA_SPLICEOSOME")</f>
        <v>GOBP_REGULATION_OF_MRNA_SPLICING_VIA_SPLICEOSOME</v>
      </c>
      <c r="C6518" s="4">
        <v>105</v>
      </c>
      <c r="D6518" s="3">
        <v>-1.9182858</v>
      </c>
      <c r="E6518" s="1">
        <v>0</v>
      </c>
      <c r="F6518" s="2">
        <v>1.3177217999999999E-2</v>
      </c>
    </row>
    <row r="6519" spans="1:6" x14ac:dyDescent="0.25">
      <c r="A6519" t="s">
        <v>7</v>
      </c>
      <c r="B6519" s="5" t="str">
        <f>HYPERLINK("http://www.broadinstitute.org/gsea/msigdb/cards/GOCC_SPLICEOSOMAL_COMPLEX.html","GOCC_SPLICEOSOMAL_COMPLEX")</f>
        <v>GOCC_SPLICEOSOMAL_COMPLEX</v>
      </c>
      <c r="C6519" s="4">
        <v>192</v>
      </c>
      <c r="D6519" s="3">
        <v>-1.9186494000000001</v>
      </c>
      <c r="E6519" s="1">
        <v>0</v>
      </c>
      <c r="F6519" s="2">
        <v>1.3253701E-2</v>
      </c>
    </row>
    <row r="6520" spans="1:6" x14ac:dyDescent="0.25">
      <c r="A6520" t="s">
        <v>6</v>
      </c>
      <c r="B6520" s="5" t="str">
        <f>HYPERLINK("http://www.broadinstitute.org/gsea/msigdb/cards/GOBP_MULTICELLULAR_ORGANISMAL_MOVEMENT.html","GOBP_MULTICELLULAR_ORGANISMAL_MOVEMENT")</f>
        <v>GOBP_MULTICELLULAR_ORGANISMAL_MOVEMENT</v>
      </c>
      <c r="C6520" s="4">
        <v>62</v>
      </c>
      <c r="D6520" s="3">
        <v>-1.9194723</v>
      </c>
      <c r="E6520" s="1">
        <v>0</v>
      </c>
      <c r="F6520" s="2">
        <v>1.3223891E-2</v>
      </c>
    </row>
    <row r="6521" spans="1:6" x14ac:dyDescent="0.25">
      <c r="A6521" t="s">
        <v>7</v>
      </c>
      <c r="B6521" s="5" t="str">
        <f>HYPERLINK("http://www.broadinstitute.org/gsea/msigdb/cards/GOCC_SARCOMERE.html","GOCC_SARCOMERE")</f>
        <v>GOCC_SARCOMERE</v>
      </c>
      <c r="C6521" s="4">
        <v>200</v>
      </c>
      <c r="D6521" s="3">
        <v>-1.923924</v>
      </c>
      <c r="E6521" s="1">
        <v>0</v>
      </c>
      <c r="F6521" s="2">
        <v>1.2590851E-2</v>
      </c>
    </row>
    <row r="6522" spans="1:6" x14ac:dyDescent="0.25">
      <c r="A6522" t="s">
        <v>10</v>
      </c>
      <c r="B6522" s="5" t="str">
        <f>HYPERLINK("http://www.broadinstitute.org/gsea/msigdb/cards/REACTOME_NONSENSE_MEDIATED_DECAY_NMD.html","REACTOME_NONSENSE_MEDIATED_DECAY_NMD")</f>
        <v>REACTOME_NONSENSE_MEDIATED_DECAY_NMD</v>
      </c>
      <c r="C6522" s="4">
        <v>105</v>
      </c>
      <c r="D6522" s="3">
        <v>-1.9247017</v>
      </c>
      <c r="E6522" s="1">
        <v>0</v>
      </c>
      <c r="F6522" s="2">
        <v>1.2638177E-2</v>
      </c>
    </row>
    <row r="6523" spans="1:6" x14ac:dyDescent="0.25">
      <c r="A6523" t="s">
        <v>6</v>
      </c>
      <c r="B6523" s="5" t="str">
        <f>HYPERLINK("http://www.broadinstitute.org/gsea/msigdb/cards/GOBP_RIBOSOMAL_SMALL_SUBUNIT_ASSEMBLY.html","GOBP_RIBOSOMAL_SMALL_SUBUNIT_ASSEMBLY")</f>
        <v>GOBP_RIBOSOMAL_SMALL_SUBUNIT_ASSEMBLY</v>
      </c>
      <c r="C6523" s="4">
        <v>19</v>
      </c>
      <c r="D6523" s="3">
        <v>-1.9256371999999999</v>
      </c>
      <c r="E6523" s="1">
        <v>2.4213075999999999E-3</v>
      </c>
      <c r="F6523" s="2">
        <v>1.2635957E-2</v>
      </c>
    </row>
    <row r="6524" spans="1:6" x14ac:dyDescent="0.25">
      <c r="A6524" t="s">
        <v>6</v>
      </c>
      <c r="B6524" s="5" t="str">
        <f>HYPERLINK("http://www.broadinstitute.org/gsea/msigdb/cards/GOBP_REGULATION_OF_MITOCHONDRIAL_GENE_EXPRESSION.html","GOBP_REGULATION_OF_MITOCHONDRIAL_GENE_EXPRESSION")</f>
        <v>GOBP_REGULATION_OF_MITOCHONDRIAL_GENE_EXPRESSION</v>
      </c>
      <c r="C6524" s="4">
        <v>32</v>
      </c>
      <c r="D6524" s="3">
        <v>-1.9276342</v>
      </c>
      <c r="E6524" s="1">
        <v>0</v>
      </c>
      <c r="F6524" s="2">
        <v>1.2401875E-2</v>
      </c>
    </row>
    <row r="6525" spans="1:6" x14ac:dyDescent="0.25">
      <c r="A6525" t="s">
        <v>6</v>
      </c>
      <c r="B6525" s="5" t="str">
        <f>HYPERLINK("http://www.broadinstitute.org/gsea/msigdb/cards/GOBP_MRNA_PROCESSING.html","GOBP_MRNA_PROCESSING")</f>
        <v>GOBP_MRNA_PROCESSING</v>
      </c>
      <c r="C6525" s="4">
        <v>464</v>
      </c>
      <c r="D6525" s="3">
        <v>-1.9302954999999999</v>
      </c>
      <c r="E6525" s="1">
        <v>0</v>
      </c>
      <c r="F6525" s="2">
        <v>1.2190481E-2</v>
      </c>
    </row>
    <row r="6526" spans="1:6" x14ac:dyDescent="0.25">
      <c r="A6526" t="s">
        <v>7</v>
      </c>
      <c r="B6526" s="5" t="str">
        <f>HYPERLINK("http://www.broadinstitute.org/gsea/msigdb/cards/GOCC_PROTON_TRANSPORTING_TWO_SECTOR_ATPASE_COMPLEX.html","GOCC_PROTON_TRANSPORTING_TWO_SECTOR_ATPASE_COMPLEX")</f>
        <v>GOCC_PROTON_TRANSPORTING_TWO_SECTOR_ATPASE_COMPLEX</v>
      </c>
      <c r="C6526" s="4">
        <v>46</v>
      </c>
      <c r="D6526" s="3">
        <v>-1.9319818</v>
      </c>
      <c r="E6526" s="1">
        <v>0</v>
      </c>
      <c r="F6526" s="2">
        <v>1.2077212E-2</v>
      </c>
    </row>
    <row r="6527" spans="1:6" x14ac:dyDescent="0.25">
      <c r="A6527" t="s">
        <v>6</v>
      </c>
      <c r="B6527" s="5" t="str">
        <f>HYPERLINK("http://www.broadinstitute.org/gsea/msigdb/cards/GOBP_REGULATION_OF_MRNA_PROCESSING.html","GOBP_REGULATION_OF_MRNA_PROCESSING")</f>
        <v>GOBP_REGULATION_OF_MRNA_PROCESSING</v>
      </c>
      <c r="C6527" s="4">
        <v>129</v>
      </c>
      <c r="D6527" s="3">
        <v>-1.9323903</v>
      </c>
      <c r="E6527" s="1">
        <v>0</v>
      </c>
      <c r="F6527" s="2">
        <v>1.2148324E-2</v>
      </c>
    </row>
    <row r="6528" spans="1:6" x14ac:dyDescent="0.25">
      <c r="A6528" t="s">
        <v>7</v>
      </c>
      <c r="B6528" s="5" t="str">
        <f>HYPERLINK("http://www.broadinstitute.org/gsea/msigdb/cards/GOCC_SNO_S_RNA_CONTAINING_RIBONUCLEOPROTEIN_COMPLEX.html","GOCC_SNO_S_RNA_CONTAINING_RIBONUCLEOPROTEIN_COMPLEX")</f>
        <v>GOCC_SNO_S_RNA_CONTAINING_RIBONUCLEOPROTEIN_COMPLEX</v>
      </c>
      <c r="C6528" s="4">
        <v>21</v>
      </c>
      <c r="D6528" s="3">
        <v>-1.9357740000000001</v>
      </c>
      <c r="E6528" s="1">
        <v>7.1090045000000001E-3</v>
      </c>
      <c r="F6528" s="2">
        <v>1.1861498E-2</v>
      </c>
    </row>
    <row r="6529" spans="1:6" x14ac:dyDescent="0.25">
      <c r="A6529" t="s">
        <v>6</v>
      </c>
      <c r="B6529" s="5" t="str">
        <f>HYPERLINK("http://www.broadinstitute.org/gsea/msigdb/cards/GOBP_KERATINOCYTE_DEVELOPMENT.html","GOBP_KERATINOCYTE_DEVELOPMENT")</f>
        <v>GOBP_KERATINOCYTE_DEVELOPMENT</v>
      </c>
      <c r="C6529" s="4">
        <v>17</v>
      </c>
      <c r="D6529" s="3">
        <v>-1.9399679000000001</v>
      </c>
      <c r="E6529" s="1">
        <v>0</v>
      </c>
      <c r="F6529" s="2">
        <v>1.1414238E-2</v>
      </c>
    </row>
    <row r="6530" spans="1:6" x14ac:dyDescent="0.25">
      <c r="A6530" t="s">
        <v>11</v>
      </c>
      <c r="B6530" s="5" t="str">
        <f>HYPERLINK("http://www.broadinstitute.org/gsea/msigdb/cards/WP_CYTOPLASMIC_RIBOSOMAL_PROTEINS.html","WP_CYTOPLASMIC_RIBOSOMAL_PROTEINS")</f>
        <v>WP_CYTOPLASMIC_RIBOSOMAL_PROTEINS</v>
      </c>
      <c r="C6530" s="4">
        <v>76</v>
      </c>
      <c r="D6530" s="3">
        <v>-1.9588269</v>
      </c>
      <c r="E6530" s="1">
        <v>0</v>
      </c>
      <c r="F6530" s="2">
        <v>8.9001529999999992E-3</v>
      </c>
    </row>
    <row r="6531" spans="1:6" x14ac:dyDescent="0.25">
      <c r="A6531" t="s">
        <v>7</v>
      </c>
      <c r="B6531" s="5" t="str">
        <f>HYPERLINK("http://www.broadinstitute.org/gsea/msigdb/cards/GOCC_T_TUBULE.html","GOCC_T_TUBULE")</f>
        <v>GOCC_T_TUBULE</v>
      </c>
      <c r="C6531" s="4">
        <v>72</v>
      </c>
      <c r="D6531" s="3">
        <v>-1.9597507999999999</v>
      </c>
      <c r="E6531" s="1">
        <v>0</v>
      </c>
      <c r="F6531" s="2">
        <v>8.9115759999999992E-3</v>
      </c>
    </row>
    <row r="6532" spans="1:6" x14ac:dyDescent="0.25">
      <c r="A6532" t="s">
        <v>6</v>
      </c>
      <c r="B6532" s="5" t="str">
        <f>HYPERLINK("http://www.broadinstitute.org/gsea/msigdb/cards/GOBP_RADIAL_GLIAL_CELL_DIFFERENTIATION.html","GOBP_RADIAL_GLIAL_CELL_DIFFERENTIATION")</f>
        <v>GOBP_RADIAL_GLIAL_CELL_DIFFERENTIATION</v>
      </c>
      <c r="C6532" s="4">
        <v>18</v>
      </c>
      <c r="D6532" s="3">
        <v>-1.9635353</v>
      </c>
      <c r="E6532" s="1">
        <v>0</v>
      </c>
      <c r="F6532" s="2">
        <v>8.5503679999999992E-3</v>
      </c>
    </row>
    <row r="6533" spans="1:6" x14ac:dyDescent="0.25">
      <c r="A6533" t="s">
        <v>6</v>
      </c>
      <c r="B6533" s="5" t="str">
        <f>HYPERLINK("http://www.broadinstitute.org/gsea/msigdb/cards/GOBP_POST_TRANSCRIPTIONAL_GENE_SILENCING.html","GOBP_POST_TRANSCRIPTIONAL_GENE_SILENCING")</f>
        <v>GOBP_POST_TRANSCRIPTIONAL_GENE_SILENCING</v>
      </c>
      <c r="C6533" s="4">
        <v>66</v>
      </c>
      <c r="D6533" s="3">
        <v>-1.9677210999999999</v>
      </c>
      <c r="E6533" s="1">
        <v>0</v>
      </c>
      <c r="F6533" s="2">
        <v>8.1062345000000001E-3</v>
      </c>
    </row>
    <row r="6534" spans="1:6" x14ac:dyDescent="0.25">
      <c r="A6534" t="s">
        <v>7</v>
      </c>
      <c r="B6534" s="5" t="str">
        <f>HYPERLINK("http://www.broadinstitute.org/gsea/msigdb/cards/GOCC_U2_SNRNP.html","GOCC_U2_SNRNP")</f>
        <v>GOCC_U2_SNRNP</v>
      </c>
      <c r="C6534" s="4">
        <v>21</v>
      </c>
      <c r="D6534" s="3">
        <v>-1.9755383</v>
      </c>
      <c r="E6534" s="1">
        <v>0</v>
      </c>
      <c r="F6534" s="2">
        <v>7.5164150000000002E-3</v>
      </c>
    </row>
    <row r="6535" spans="1:6" x14ac:dyDescent="0.25">
      <c r="A6535" t="s">
        <v>10</v>
      </c>
      <c r="B6535" s="5" t="str">
        <f>HYPERLINK("http://www.broadinstitute.org/gsea/msigdb/cards/REACTOME_NONSENSE_MEDIATED_DECAY_NMD_INDEPENDENT_OF_THE_EXON_JUNCTION_COMPLEX_EJC.html","REACTOME_NONSENSE_MEDIATED_DECAY_NMD_INDEPENDENT_OF_THE_EXON_JUNCTION_COMPLEX_EJC")</f>
        <v>REACTOME_NONSENSE_MEDIATED_DECAY_NMD_INDEPENDENT_OF_THE_EXON_JUNCTION_COMPLEX_EJC</v>
      </c>
      <c r="C6535" s="4">
        <v>85</v>
      </c>
      <c r="D6535" s="3">
        <v>-1.9764292000000001</v>
      </c>
      <c r="E6535" s="1">
        <v>0</v>
      </c>
      <c r="F6535" s="2">
        <v>7.5332867E-3</v>
      </c>
    </row>
    <row r="6536" spans="1:6" x14ac:dyDescent="0.25">
      <c r="A6536" t="s">
        <v>6</v>
      </c>
      <c r="B6536" s="5" t="str">
        <f>HYPERLINK("http://www.broadinstitute.org/gsea/msigdb/cards/GOBP_STRIATED_MUSCLE_ADAPTATION.html","GOBP_STRIATED_MUSCLE_ADAPTATION")</f>
        <v>GOBP_STRIATED_MUSCLE_ADAPTATION</v>
      </c>
      <c r="C6536" s="4">
        <v>52</v>
      </c>
      <c r="D6536" s="3">
        <v>-1.9793289999999999</v>
      </c>
      <c r="E6536" s="1">
        <v>0</v>
      </c>
      <c r="F6536" s="2">
        <v>7.2972050000000002E-3</v>
      </c>
    </row>
    <row r="6537" spans="1:6" x14ac:dyDescent="0.25">
      <c r="A6537" t="s">
        <v>7</v>
      </c>
      <c r="B6537" s="5" t="str">
        <f>HYPERLINK("http://www.broadinstitute.org/gsea/msigdb/cards/GOCC_RESPIRATORY_CHAIN_COMPLEX_IV.html","GOCC_RESPIRATORY_CHAIN_COMPLEX_IV")</f>
        <v>GOCC_RESPIRATORY_CHAIN_COMPLEX_IV</v>
      </c>
      <c r="C6537" s="4">
        <v>23</v>
      </c>
      <c r="D6537" s="3">
        <v>-1.9822495</v>
      </c>
      <c r="E6537" s="1">
        <v>0</v>
      </c>
      <c r="F6537" s="2">
        <v>7.0147654000000002E-3</v>
      </c>
    </row>
    <row r="6538" spans="1:6" x14ac:dyDescent="0.25">
      <c r="A6538" t="s">
        <v>6</v>
      </c>
      <c r="B6538" s="5" t="str">
        <f>HYPERLINK("http://www.broadinstitute.org/gsea/msigdb/cards/GOBP_NUCLEOTIDE_EXCISION_REPAIR.html","GOBP_NUCLEOTIDE_EXCISION_REPAIR")</f>
        <v>GOBP_NUCLEOTIDE_EXCISION_REPAIR</v>
      </c>
      <c r="C6538" s="4">
        <v>78</v>
      </c>
      <c r="D6538" s="3">
        <v>-1.9900036999999999</v>
      </c>
      <c r="E6538" s="1">
        <v>0</v>
      </c>
      <c r="F6538" s="2">
        <v>6.4654374000000002E-3</v>
      </c>
    </row>
    <row r="6539" spans="1:6" x14ac:dyDescent="0.25">
      <c r="A6539" t="s">
        <v>6</v>
      </c>
      <c r="B6539" s="5" t="str">
        <f>HYPERLINK("http://www.broadinstitute.org/gsea/msigdb/cards/GOBP_MRNA_SPLICE_SITE_RECOGNITION.html","GOBP_MRNA_SPLICE_SITE_RECOGNITION")</f>
        <v>GOBP_MRNA_SPLICE_SITE_RECOGNITION</v>
      </c>
      <c r="C6539" s="4">
        <v>27</v>
      </c>
      <c r="D6539" s="3">
        <v>-1.9923812999999999</v>
      </c>
      <c r="E6539" s="1">
        <v>0</v>
      </c>
      <c r="F6539" s="2">
        <v>6.4098560000000002E-3</v>
      </c>
    </row>
    <row r="6540" spans="1:6" x14ac:dyDescent="0.25">
      <c r="A6540" t="s">
        <v>6</v>
      </c>
      <c r="B6540" s="5" t="str">
        <f>HYPERLINK("http://www.broadinstitute.org/gsea/msigdb/cards/GOBP_SPLICEOSOMAL_SNRNP_ASSEMBLY.html","GOBP_SPLICEOSOMAL_SNRNP_ASSEMBLY")</f>
        <v>GOBP_SPLICEOSOMAL_SNRNP_ASSEMBLY</v>
      </c>
      <c r="C6540" s="4">
        <v>34</v>
      </c>
      <c r="D6540" s="3">
        <v>-1.9935989000000001</v>
      </c>
      <c r="E6540" s="1">
        <v>0</v>
      </c>
      <c r="F6540" s="2">
        <v>6.3632955000000003E-3</v>
      </c>
    </row>
    <row r="6541" spans="1:6" x14ac:dyDescent="0.25">
      <c r="A6541" t="s">
        <v>8</v>
      </c>
      <c r="B6541" s="5" t="str">
        <f>HYPERLINK("http://www.broadinstitute.org/gsea/msigdb/cards/GOMF_TELOMERASE_RNA_BINDING.html","GOMF_TELOMERASE_RNA_BINDING")</f>
        <v>GOMF_TELOMERASE_RNA_BINDING</v>
      </c>
      <c r="C6541" s="4">
        <v>17</v>
      </c>
      <c r="D6541" s="3">
        <v>-1.9984808999999999</v>
      </c>
      <c r="E6541" s="1">
        <v>0</v>
      </c>
      <c r="F6541" s="2">
        <v>5.9733916999999996E-3</v>
      </c>
    </row>
    <row r="6542" spans="1:6" x14ac:dyDescent="0.25">
      <c r="A6542" t="s">
        <v>10</v>
      </c>
      <c r="B6542" s="5" t="str">
        <f>HYPERLINK("http://www.broadinstitute.org/gsea/msigdb/cards/REACTOME_RNA_POLYMERASE_I_TRANSCRIPTION_TERMINATION.html","REACTOME_RNA_POLYMERASE_I_TRANSCRIPTION_TERMINATION")</f>
        <v>REACTOME_RNA_POLYMERASE_I_TRANSCRIPTION_TERMINATION</v>
      </c>
      <c r="C6542" s="4">
        <v>30</v>
      </c>
      <c r="D6542" s="3">
        <v>-2.0042697999999999</v>
      </c>
      <c r="E6542" s="1">
        <v>0</v>
      </c>
      <c r="F6542" s="2">
        <v>5.5850776999999997E-3</v>
      </c>
    </row>
    <row r="6543" spans="1:6" x14ac:dyDescent="0.25">
      <c r="A6543" t="s">
        <v>7</v>
      </c>
      <c r="B6543" s="5" t="str">
        <f>HYPERLINK("http://www.broadinstitute.org/gsea/msigdb/cards/GOCC_MYOFILAMENT.html","GOCC_MYOFILAMENT")</f>
        <v>GOCC_MYOFILAMENT</v>
      </c>
      <c r="C6543" s="4">
        <v>27</v>
      </c>
      <c r="D6543" s="3">
        <v>-2.0073373000000001</v>
      </c>
      <c r="E6543" s="1">
        <v>0</v>
      </c>
      <c r="F6543" s="2">
        <v>5.4520406000000002E-3</v>
      </c>
    </row>
    <row r="6544" spans="1:6" x14ac:dyDescent="0.25">
      <c r="A6544" t="s">
        <v>10</v>
      </c>
      <c r="B6544" s="5" t="str">
        <f>HYPERLINK("http://www.broadinstitute.org/gsea/msigdb/cards/REACTOME_RMTS_METHYLATE_HISTONE_ARGININES.html","REACTOME_RMTS_METHYLATE_HISTONE_ARGININES")</f>
        <v>REACTOME_RMTS_METHYLATE_HISTONE_ARGININES</v>
      </c>
      <c r="C6544" s="4">
        <v>67</v>
      </c>
      <c r="D6544" s="3">
        <v>-2.0089359999999998</v>
      </c>
      <c r="E6544" s="1">
        <v>0</v>
      </c>
      <c r="F6544" s="2">
        <v>5.4442835999999996E-3</v>
      </c>
    </row>
    <row r="6545" spans="1:6" x14ac:dyDescent="0.25">
      <c r="A6545" t="s">
        <v>7</v>
      </c>
      <c r="B6545" s="5" t="str">
        <f>HYPERLINK("http://www.broadinstitute.org/gsea/msigdb/cards/GOCC_NBAF_COMPLEX.html","GOCC_NBAF_COMPLEX")</f>
        <v>GOCC_NBAF_COMPLEX</v>
      </c>
      <c r="C6545" s="4">
        <v>16</v>
      </c>
      <c r="D6545" s="3">
        <v>-2.0098636000000001</v>
      </c>
      <c r="E6545" s="1">
        <v>2.2624435E-3</v>
      </c>
      <c r="F6545" s="2">
        <v>5.4366146000000004E-3</v>
      </c>
    </row>
    <row r="6546" spans="1:6" x14ac:dyDescent="0.25">
      <c r="A6546" t="s">
        <v>6</v>
      </c>
      <c r="B6546" s="5" t="str">
        <f>HYPERLINK("http://www.broadinstitute.org/gsea/msigdb/cards/GOBP_GENERATION_OF_PRECURSOR_METABOLITES_AND_ENERGY.html","GOBP_GENERATION_OF_PRECURSOR_METABOLITES_AND_ENERGY")</f>
        <v>GOBP_GENERATION_OF_PRECURSOR_METABOLITES_AND_ENERGY</v>
      </c>
      <c r="C6546" s="4">
        <v>444</v>
      </c>
      <c r="D6546" s="3">
        <v>-2.0130615000000001</v>
      </c>
      <c r="E6546" s="1">
        <v>0</v>
      </c>
      <c r="F6546" s="2">
        <v>5.2527505999999998E-3</v>
      </c>
    </row>
    <row r="6547" spans="1:6" x14ac:dyDescent="0.25">
      <c r="A6547" t="s">
        <v>6</v>
      </c>
      <c r="B6547" s="5" t="str">
        <f>HYPERLINK("http://www.broadinstitute.org/gsea/msigdb/cards/GOBP_POSITIVE_REGULATION_OF_SKELETAL_MUSCLE_TISSUE_DEVELOPMENT.html","GOBP_POSITIVE_REGULATION_OF_SKELETAL_MUSCLE_TISSUE_DEVELOPMENT")</f>
        <v>GOBP_POSITIVE_REGULATION_OF_SKELETAL_MUSCLE_TISSUE_DEVELOPMENT</v>
      </c>
      <c r="C6547" s="4">
        <v>23</v>
      </c>
      <c r="D6547" s="3">
        <v>-2.0258338</v>
      </c>
      <c r="E6547" s="1">
        <v>0</v>
      </c>
      <c r="F6547" s="2">
        <v>4.493319E-3</v>
      </c>
    </row>
    <row r="6548" spans="1:6" x14ac:dyDescent="0.25">
      <c r="A6548" t="s">
        <v>7</v>
      </c>
      <c r="B6548" s="5" t="str">
        <f>HYPERLINK("http://www.broadinstitute.org/gsea/msigdb/cards/GOCC_RSC_TYPE_COMPLEX.html","GOCC_RSC_TYPE_COMPLEX")</f>
        <v>GOCC_RSC_TYPE_COMPLEX</v>
      </c>
      <c r="C6548" s="4">
        <v>15</v>
      </c>
      <c r="D6548" s="3">
        <v>-2.0282155999999998</v>
      </c>
      <c r="E6548" s="1">
        <v>0</v>
      </c>
      <c r="F6548" s="2">
        <v>4.4179353999999997E-3</v>
      </c>
    </row>
    <row r="6549" spans="1:6" x14ac:dyDescent="0.25">
      <c r="A6549" t="s">
        <v>6</v>
      </c>
      <c r="B6549" s="5" t="str">
        <f>HYPERLINK("http://www.broadinstitute.org/gsea/msigdb/cards/GOBP_NUCLEOSIDE_TRIPHOSPHATE_METABOLIC_PROCESS.html","GOBP_NUCLEOSIDE_TRIPHOSPHATE_METABOLIC_PROCESS")</f>
        <v>GOBP_NUCLEOSIDE_TRIPHOSPHATE_METABOLIC_PROCESS</v>
      </c>
      <c r="C6549" s="4">
        <v>168</v>
      </c>
      <c r="D6549" s="3">
        <v>-2.0286342999999998</v>
      </c>
      <c r="E6549" s="1">
        <v>0</v>
      </c>
      <c r="F6549" s="2">
        <v>4.4540229999999997E-3</v>
      </c>
    </row>
    <row r="6550" spans="1:6" x14ac:dyDescent="0.25">
      <c r="A6550" t="s">
        <v>8</v>
      </c>
      <c r="B6550" s="5" t="str">
        <f>HYPERLINK("http://www.broadinstitute.org/gsea/msigdb/cards/GOMF_ACETYLCHOLINE_GATED_MONOATOMIC_CATION_SELECTIVE_CHANNEL_ACTIVITY.html","GOMF_ACETYLCHOLINE_GATED_MONOATOMIC_CATION_SELECTIVE_CHANNEL_ACTIVITY")</f>
        <v>GOMF_ACETYLCHOLINE_GATED_MONOATOMIC_CATION_SELECTIVE_CHANNEL_ACTIVITY</v>
      </c>
      <c r="C6550" s="4">
        <v>15</v>
      </c>
      <c r="D6550" s="3">
        <v>-2.0340699999999998</v>
      </c>
      <c r="E6550" s="1">
        <v>0</v>
      </c>
      <c r="F6550" s="2">
        <v>4.2491500000000001E-3</v>
      </c>
    </row>
    <row r="6551" spans="1:6" x14ac:dyDescent="0.25">
      <c r="A6551" t="s">
        <v>6</v>
      </c>
      <c r="B6551" s="5" t="str">
        <f>HYPERLINK("http://www.broadinstitute.org/gsea/msigdb/cards/GOBP_PROTEIN_TARGETING_TO_MITOCHONDRION.html","GOBP_PROTEIN_TARGETING_TO_MITOCHONDRION")</f>
        <v>GOBP_PROTEIN_TARGETING_TO_MITOCHONDRION</v>
      </c>
      <c r="C6551" s="4">
        <v>76</v>
      </c>
      <c r="D6551" s="3">
        <v>-2.0443034</v>
      </c>
      <c r="E6551" s="1">
        <v>0</v>
      </c>
      <c r="F6551" s="2">
        <v>3.6578786E-3</v>
      </c>
    </row>
    <row r="6552" spans="1:6" x14ac:dyDescent="0.25">
      <c r="A6552" t="s">
        <v>10</v>
      </c>
      <c r="B6552" s="5" t="str">
        <f>HYPERLINK("http://www.broadinstitute.org/gsea/msigdb/cards/REACTOME_RNA_POLYMERASE_II_TRANSCRIPTION_TERMINATION.html","REACTOME_RNA_POLYMERASE_II_TRANSCRIPTION_TERMINATION")</f>
        <v>REACTOME_RNA_POLYMERASE_II_TRANSCRIPTION_TERMINATION</v>
      </c>
      <c r="C6552" s="4">
        <v>62</v>
      </c>
      <c r="D6552" s="3">
        <v>-2.0452013</v>
      </c>
      <c r="E6552" s="1">
        <v>0</v>
      </c>
      <c r="F6552" s="2">
        <v>3.6608875E-3</v>
      </c>
    </row>
    <row r="6553" spans="1:6" x14ac:dyDescent="0.25">
      <c r="A6553" t="s">
        <v>6</v>
      </c>
      <c r="B6553" s="5" t="str">
        <f>HYPERLINK("http://www.broadinstitute.org/gsea/msigdb/cards/GOBP_NEURON_FATE_SPECIFICATION.html","GOBP_NEURON_FATE_SPECIFICATION")</f>
        <v>GOBP_NEURON_FATE_SPECIFICATION</v>
      </c>
      <c r="C6553" s="4">
        <v>40</v>
      </c>
      <c r="D6553" s="3">
        <v>-2.0500118999999999</v>
      </c>
      <c r="E6553" s="1">
        <v>0</v>
      </c>
      <c r="F6553" s="2">
        <v>3.5670622999999999E-3</v>
      </c>
    </row>
    <row r="6554" spans="1:6" x14ac:dyDescent="0.25">
      <c r="A6554" t="s">
        <v>10</v>
      </c>
      <c r="B6554" s="5" t="str">
        <f>HYPERLINK("http://www.broadinstitute.org/gsea/msigdb/cards/REACTOME_PROCESSING_OF_CAPPED_INTRON_CONTAINING_PRE_MRNA.html","REACTOME_PROCESSING_OF_CAPPED_INTRON_CONTAINING_PRE_MRNA")</f>
        <v>REACTOME_PROCESSING_OF_CAPPED_INTRON_CONTAINING_PRE_MRNA</v>
      </c>
      <c r="C6554" s="4">
        <v>266</v>
      </c>
      <c r="D6554" s="3">
        <v>-2.0555742000000001</v>
      </c>
      <c r="E6554" s="1">
        <v>0</v>
      </c>
      <c r="F6554" s="2">
        <v>3.2728267999999998E-3</v>
      </c>
    </row>
    <row r="6555" spans="1:6" x14ac:dyDescent="0.25">
      <c r="A6555" t="s">
        <v>6</v>
      </c>
      <c r="B6555" s="5" t="str">
        <f>HYPERLINK("http://www.broadinstitute.org/gsea/msigdb/cards/GOBP_PROTEIN_RNA_COMPLEX_ORGANIZATION.html","GOBP_PROTEIN_RNA_COMPLEX_ORGANIZATION")</f>
        <v>GOBP_PROTEIN_RNA_COMPLEX_ORGANIZATION</v>
      </c>
      <c r="C6555" s="4">
        <v>175</v>
      </c>
      <c r="D6555" s="3">
        <v>-2.0600965000000002</v>
      </c>
      <c r="E6555" s="1">
        <v>0</v>
      </c>
      <c r="F6555" s="2">
        <v>3.0568254000000001E-3</v>
      </c>
    </row>
    <row r="6556" spans="1:6" x14ac:dyDescent="0.25">
      <c r="A6556" t="s">
        <v>6</v>
      </c>
      <c r="B6556" s="5" t="str">
        <f>HYPERLINK("http://www.broadinstitute.org/gsea/msigdb/cards/GOBP_REGULATION_OF_SKELETAL_MUSCLE_TISSUE_DEVELOPMENT.html","GOBP_REGULATION_OF_SKELETAL_MUSCLE_TISSUE_DEVELOPMENT")</f>
        <v>GOBP_REGULATION_OF_SKELETAL_MUSCLE_TISSUE_DEVELOPMENT</v>
      </c>
      <c r="C6556" s="4">
        <v>31</v>
      </c>
      <c r="D6556" s="3">
        <v>-2.0606176999999999</v>
      </c>
      <c r="E6556" s="1">
        <v>0</v>
      </c>
      <c r="F6556" s="2">
        <v>3.0894450000000001E-3</v>
      </c>
    </row>
    <row r="6557" spans="1:6" x14ac:dyDescent="0.25">
      <c r="A6557" t="s">
        <v>10</v>
      </c>
      <c r="B6557" s="5" t="str">
        <f>HYPERLINK("http://www.broadinstitute.org/gsea/msigdb/cards/REACTOME_ESTROGEN_DEPENDENT_GENE_EXPRESSION.html","REACTOME_ESTROGEN_DEPENDENT_GENE_EXPRESSION")</f>
        <v>REACTOME_ESTROGEN_DEPENDENT_GENE_EXPRESSION</v>
      </c>
      <c r="C6557" s="4">
        <v>85</v>
      </c>
      <c r="D6557" s="3">
        <v>-2.0606205000000002</v>
      </c>
      <c r="E6557" s="1">
        <v>0</v>
      </c>
      <c r="F6557" s="2">
        <v>3.1355560999999999E-3</v>
      </c>
    </row>
    <row r="6558" spans="1:6" x14ac:dyDescent="0.25">
      <c r="A6558" t="s">
        <v>6</v>
      </c>
      <c r="B6558" s="5" t="str">
        <f>HYPERLINK("http://www.broadinstitute.org/gsea/msigdb/cards/GOBP_SKELETAL_MUSCLE_CONTRACTION.html","GOBP_SKELETAL_MUSCLE_CONTRACTION")</f>
        <v>GOBP_SKELETAL_MUSCLE_CONTRACTION</v>
      </c>
      <c r="C6558" s="4">
        <v>44</v>
      </c>
      <c r="D6558" s="3">
        <v>-2.0649579999999998</v>
      </c>
      <c r="E6558" s="1">
        <v>0</v>
      </c>
      <c r="F6558" s="2">
        <v>2.9085135999999999E-3</v>
      </c>
    </row>
    <row r="6559" spans="1:6" x14ac:dyDescent="0.25">
      <c r="A6559" t="s">
        <v>10</v>
      </c>
      <c r="B6559" s="5" t="str">
        <f>HYPERLINK("http://www.broadinstitute.org/gsea/msigdb/cards/REACTOME_RUNX1_INTERACTS_WITH_CO_FACTORS_WHOSE_PRECISE_EFFECT_ON_RUNX1_TARGETS_IS_NOT_KNOWN.html","REACTOME_RUNX1_INTERACTS_WITH_CO_FACTORS_WHOSE_PRECISE_EFFECT_ON_RUNX1_TARGETS_IS_NOT_KNOWN")</f>
        <v>REACTOME_RUNX1_INTERACTS_WITH_CO_FACTORS_WHOSE_PRECISE_EFFECT_ON_RUNX1_TARGETS_IS_NOT_KNOWN</v>
      </c>
      <c r="C6559" s="4">
        <v>35</v>
      </c>
      <c r="D6559" s="3">
        <v>-2.0659456</v>
      </c>
      <c r="E6559" s="1">
        <v>0</v>
      </c>
      <c r="F6559" s="2">
        <v>2.9398720000000001E-3</v>
      </c>
    </row>
    <row r="6560" spans="1:6" x14ac:dyDescent="0.25">
      <c r="A6560" t="s">
        <v>7</v>
      </c>
      <c r="B6560" s="5" t="str">
        <f>HYPERLINK("http://www.broadinstitute.org/gsea/msigdb/cards/GOCC_MITOCHONDRIAL_SMALL_RIBOSOMAL_SUBUNIT.html","GOCC_MITOCHONDRIAL_SMALL_RIBOSOMAL_SUBUNIT")</f>
        <v>GOCC_MITOCHONDRIAL_SMALL_RIBOSOMAL_SUBUNIT</v>
      </c>
      <c r="C6560" s="4">
        <v>32</v>
      </c>
      <c r="D6560" s="3">
        <v>-2.0810689999999998</v>
      </c>
      <c r="E6560" s="1">
        <v>0</v>
      </c>
      <c r="F6560" s="2">
        <v>2.4766853999999999E-3</v>
      </c>
    </row>
    <row r="6561" spans="1:6" x14ac:dyDescent="0.25">
      <c r="A6561" t="s">
        <v>10</v>
      </c>
      <c r="B6561" s="5" t="str">
        <f>HYPERLINK("http://www.broadinstitute.org/gsea/msigdb/cards/REACTOME_EUKARYOTIC_TRANSLATION_INITIATION.html","REACTOME_EUKARYOTIC_TRANSLATION_INITIATION")</f>
        <v>REACTOME_EUKARYOTIC_TRANSLATION_INITIATION</v>
      </c>
      <c r="C6561" s="4">
        <v>110</v>
      </c>
      <c r="D6561" s="3">
        <v>-2.0813565000000001</v>
      </c>
      <c r="E6561" s="1">
        <v>0</v>
      </c>
      <c r="F6561" s="2">
        <v>2.5023519999999998E-3</v>
      </c>
    </row>
    <row r="6562" spans="1:6" x14ac:dyDescent="0.25">
      <c r="A6562" t="s">
        <v>6</v>
      </c>
      <c r="B6562" s="5" t="str">
        <f>HYPERLINK("http://www.broadinstitute.org/gsea/msigdb/cards/GOBP_G0_TO_G1_TRANSITION.html","GOBP_G0_TO_G1_TRANSITION")</f>
        <v>GOBP_G0_TO_G1_TRANSITION</v>
      </c>
      <c r="C6562" s="4">
        <v>37</v>
      </c>
      <c r="D6562" s="3">
        <v>-2.084365</v>
      </c>
      <c r="E6562" s="1">
        <v>0</v>
      </c>
      <c r="F6562" s="2">
        <v>2.3908375E-3</v>
      </c>
    </row>
    <row r="6563" spans="1:6" x14ac:dyDescent="0.25">
      <c r="A6563" t="s">
        <v>6</v>
      </c>
      <c r="B6563" s="5" t="str">
        <f>HYPERLINK("http://www.broadinstitute.org/gsea/msigdb/cards/GOBP_MITOCHONDRIAL_TRANSCRIPTION.html","GOBP_MITOCHONDRIAL_TRANSCRIPTION")</f>
        <v>GOBP_MITOCHONDRIAL_TRANSCRIPTION</v>
      </c>
      <c r="C6563" s="4">
        <v>22</v>
      </c>
      <c r="D6563" s="3">
        <v>-2.0888376000000002</v>
      </c>
      <c r="E6563" s="1">
        <v>0</v>
      </c>
      <c r="F6563" s="2">
        <v>2.2191404999999998E-3</v>
      </c>
    </row>
    <row r="6564" spans="1:6" x14ac:dyDescent="0.25">
      <c r="A6564" t="s">
        <v>10</v>
      </c>
      <c r="B6564" s="5" t="str">
        <f>HYPERLINK("http://www.broadinstitute.org/gsea/msigdb/cards/REACTOME_FORMATION_OF_ATP_BY_CHEMIOSMOTIC_COUPLING.html","REACTOME_FORMATION_OF_ATP_BY_CHEMIOSMOTIC_COUPLING")</f>
        <v>REACTOME_FORMATION_OF_ATP_BY_CHEMIOSMOTIC_COUPLING</v>
      </c>
      <c r="C6564" s="4">
        <v>15</v>
      </c>
      <c r="D6564" s="3">
        <v>-2.0978357999999999</v>
      </c>
      <c r="E6564" s="1">
        <v>2.2935779000000001E-3</v>
      </c>
      <c r="F6564" s="2">
        <v>1.9819830000000001E-3</v>
      </c>
    </row>
    <row r="6565" spans="1:6" x14ac:dyDescent="0.25">
      <c r="A6565" t="s">
        <v>6</v>
      </c>
      <c r="B6565" s="5" t="str">
        <f>HYPERLINK("http://www.broadinstitute.org/gsea/msigdb/cards/GOBP_SPLICEOSOMAL_COMPLEX_ASSEMBLY.html","GOBP_SPLICEOSOMAL_COMPLEX_ASSEMBLY")</f>
        <v>GOBP_SPLICEOSOMAL_COMPLEX_ASSEMBLY</v>
      </c>
      <c r="C6565" s="4">
        <v>45</v>
      </c>
      <c r="D6565" s="3">
        <v>-2.105521</v>
      </c>
      <c r="E6565" s="1">
        <v>0</v>
      </c>
      <c r="F6565" s="2">
        <v>1.7967984E-3</v>
      </c>
    </row>
    <row r="6566" spans="1:6" x14ac:dyDescent="0.25">
      <c r="A6566" t="s">
        <v>8</v>
      </c>
      <c r="B6566" s="5" t="str">
        <f>HYPERLINK("http://www.broadinstitute.org/gsea/msigdb/cards/GOMF_NAD_P_H_DEHYDROGENASE_QUINONE_ACTIVITY.html","GOMF_NAD_P_H_DEHYDROGENASE_QUINONE_ACTIVITY")</f>
        <v>GOMF_NAD_P_H_DEHYDROGENASE_QUINONE_ACTIVITY</v>
      </c>
      <c r="C6566" s="4">
        <v>15</v>
      </c>
      <c r="D6566" s="3">
        <v>-2.1151689999999999</v>
      </c>
      <c r="E6566" s="1">
        <v>0</v>
      </c>
      <c r="F6566" s="2">
        <v>1.6350957000000001E-3</v>
      </c>
    </row>
    <row r="6567" spans="1:6" x14ac:dyDescent="0.25">
      <c r="A6567" t="s">
        <v>7</v>
      </c>
      <c r="B6567" s="5" t="str">
        <f>HYPERLINK("http://www.broadinstitute.org/gsea/msigdb/cards/GOCC_SPLICEOSOMAL_TRI_SNRNP_COMPLEX.html","GOCC_SPLICEOSOMAL_TRI_SNRNP_COMPLEX")</f>
        <v>GOCC_SPLICEOSOMAL_TRI_SNRNP_COMPLEX</v>
      </c>
      <c r="C6567" s="4">
        <v>33</v>
      </c>
      <c r="D6567" s="3">
        <v>-2.1152453000000002</v>
      </c>
      <c r="E6567" s="1">
        <v>0</v>
      </c>
      <c r="F6567" s="2">
        <v>1.6486932E-3</v>
      </c>
    </row>
    <row r="6568" spans="1:6" x14ac:dyDescent="0.25">
      <c r="A6568" t="s">
        <v>7</v>
      </c>
      <c r="B6568" s="5" t="str">
        <f>HYPERLINK("http://www.broadinstitute.org/gsea/msigdb/cards/GOCC_U2_TYPE_SPLICEOSOMAL_COMPLEX.html","GOCC_U2_TYPE_SPLICEOSOMAL_COMPLEX")</f>
        <v>GOCC_U2_TYPE_SPLICEOSOMAL_COMPLEX</v>
      </c>
      <c r="C6568" s="4">
        <v>91</v>
      </c>
      <c r="D6568" s="3">
        <v>-2.1184137000000001</v>
      </c>
      <c r="E6568" s="1">
        <v>0</v>
      </c>
      <c r="F6568" s="2">
        <v>1.5861371999999999E-3</v>
      </c>
    </row>
    <row r="6569" spans="1:6" x14ac:dyDescent="0.25">
      <c r="A6569" t="s">
        <v>6</v>
      </c>
      <c r="B6569" s="5" t="str">
        <f>HYPERLINK("http://www.broadinstitute.org/gsea/msigdb/cards/GOBP_REGULATION_OF_NUCLEOTIDE_EXCISION_REPAIR.html","GOBP_REGULATION_OF_NUCLEOTIDE_EXCISION_REPAIR")</f>
        <v>GOBP_REGULATION_OF_NUCLEOTIDE_EXCISION_REPAIR</v>
      </c>
      <c r="C6569" s="4">
        <v>29</v>
      </c>
      <c r="D6569" s="3">
        <v>-2.1236017</v>
      </c>
      <c r="E6569" s="1">
        <v>0</v>
      </c>
      <c r="F6569" s="2">
        <v>1.4414039E-3</v>
      </c>
    </row>
    <row r="6570" spans="1:6" x14ac:dyDescent="0.25">
      <c r="A6570" t="s">
        <v>7</v>
      </c>
      <c r="B6570" s="5" t="str">
        <f>HYPERLINK("http://www.broadinstitute.org/gsea/msigdb/cards/GOCC_ACETYLCHOLINE_GATED_CHANNEL_COMPLEX.html","GOCC_ACETYLCHOLINE_GATED_CHANNEL_COMPLEX")</f>
        <v>GOCC_ACETYLCHOLINE_GATED_CHANNEL_COMPLEX</v>
      </c>
      <c r="C6570" s="4">
        <v>15</v>
      </c>
      <c r="D6570" s="3">
        <v>-2.127955</v>
      </c>
      <c r="E6570" s="1">
        <v>0</v>
      </c>
      <c r="F6570" s="2">
        <v>1.3880715E-3</v>
      </c>
    </row>
    <row r="6571" spans="1:6" x14ac:dyDescent="0.25">
      <c r="A6571" t="s">
        <v>7</v>
      </c>
      <c r="B6571" s="5" t="str">
        <f>HYPERLINK("http://www.broadinstitute.org/gsea/msigdb/cards/GOCC_MITOCHONDRIAL_MATRIX.html","GOCC_MITOCHONDRIAL_MATRIX")</f>
        <v>GOCC_MITOCHONDRIAL_MATRIX</v>
      </c>
      <c r="C6571" s="4">
        <v>295</v>
      </c>
      <c r="D6571" s="3">
        <v>-2.1360210999999998</v>
      </c>
      <c r="E6571" s="1">
        <v>0</v>
      </c>
      <c r="F6571" s="2">
        <v>1.2350592E-3</v>
      </c>
    </row>
    <row r="6572" spans="1:6" x14ac:dyDescent="0.25">
      <c r="A6572" t="s">
        <v>7</v>
      </c>
      <c r="B6572" s="5" t="str">
        <f>HYPERLINK("http://www.broadinstitute.org/gsea/msigdb/cards/GOCC_PRECATALYTIC_SPLICEOSOME.html","GOCC_PRECATALYTIC_SPLICEOSOME")</f>
        <v>GOCC_PRECATALYTIC_SPLICEOSOME</v>
      </c>
      <c r="C6572" s="4">
        <v>52</v>
      </c>
      <c r="D6572" s="3">
        <v>-2.1453416000000001</v>
      </c>
      <c r="E6572" s="1">
        <v>0</v>
      </c>
      <c r="F6572" s="2">
        <v>1.0287509E-3</v>
      </c>
    </row>
    <row r="6573" spans="1:6" x14ac:dyDescent="0.25">
      <c r="A6573" t="s">
        <v>10</v>
      </c>
      <c r="B6573" s="5" t="str">
        <f>HYPERLINK("http://www.broadinstitute.org/gsea/msigdb/cards/REACTOME_MRNA_SPLICING.html","REACTOME_MRNA_SPLICING")</f>
        <v>REACTOME_MRNA_SPLICING</v>
      </c>
      <c r="C6573" s="4">
        <v>199</v>
      </c>
      <c r="D6573" s="3">
        <v>-2.1470324999999999</v>
      </c>
      <c r="E6573" s="1">
        <v>0</v>
      </c>
      <c r="F6573" s="2">
        <v>1.0489224E-3</v>
      </c>
    </row>
    <row r="6574" spans="1:6" x14ac:dyDescent="0.25">
      <c r="A6574" t="s">
        <v>6</v>
      </c>
      <c r="B6574" s="5" t="str">
        <f>HYPERLINK("http://www.broadinstitute.org/gsea/msigdb/cards/GOBP_RNA_SPLICING.html","GOBP_RNA_SPLICING")</f>
        <v>GOBP_RNA_SPLICING</v>
      </c>
      <c r="C6574" s="4">
        <v>416</v>
      </c>
      <c r="D6574" s="3">
        <v>-2.1506934000000002</v>
      </c>
      <c r="E6574" s="1">
        <v>0</v>
      </c>
      <c r="F6574" s="2">
        <v>1.052933E-3</v>
      </c>
    </row>
    <row r="6575" spans="1:6" x14ac:dyDescent="0.25">
      <c r="A6575" t="s">
        <v>7</v>
      </c>
      <c r="B6575" s="5" t="str">
        <f>HYPERLINK("http://www.broadinstitute.org/gsea/msigdb/cards/GOCC_SMALL_RIBOSOMAL_SUBUNIT.html","GOCC_SMALL_RIBOSOMAL_SUBUNIT")</f>
        <v>GOCC_SMALL_RIBOSOMAL_SUBUNIT</v>
      </c>
      <c r="C6575" s="4">
        <v>77</v>
      </c>
      <c r="D6575" s="3">
        <v>-2.1509779999999998</v>
      </c>
      <c r="E6575" s="1">
        <v>0</v>
      </c>
      <c r="F6575" s="2">
        <v>1.0568344999999999E-3</v>
      </c>
    </row>
    <row r="6576" spans="1:6" x14ac:dyDescent="0.25">
      <c r="A6576" t="s">
        <v>7</v>
      </c>
      <c r="B6576" s="5" t="str">
        <f>HYPERLINK("http://www.broadinstitute.org/gsea/msigdb/cards/GOCC_CYTOCHROME_COMPLEX.html","GOCC_CYTOCHROME_COMPLEX")</f>
        <v>GOCC_CYTOCHROME_COMPLEX</v>
      </c>
      <c r="C6576" s="4">
        <v>34</v>
      </c>
      <c r="D6576" s="3">
        <v>-2.1590520999999998</v>
      </c>
      <c r="E6576" s="1">
        <v>0</v>
      </c>
      <c r="F6576" s="2">
        <v>9.7090960000000004E-4</v>
      </c>
    </row>
    <row r="6577" spans="1:6" x14ac:dyDescent="0.25">
      <c r="A6577" t="s">
        <v>7</v>
      </c>
      <c r="B6577" s="5" t="str">
        <f>HYPERLINK("http://www.broadinstitute.org/gsea/msigdb/cards/GOCC_SWI_SNF_SUPERFAMILY_TYPE_COMPLEX.html","GOCC_SWI_SNF_SUPERFAMILY_TYPE_COMPLEX")</f>
        <v>GOCC_SWI_SNF_SUPERFAMILY_TYPE_COMPLEX</v>
      </c>
      <c r="C6577" s="4">
        <v>93</v>
      </c>
      <c r="D6577" s="3">
        <v>-2.1593846999999999</v>
      </c>
      <c r="E6577" s="1">
        <v>0</v>
      </c>
      <c r="F6577" s="2">
        <v>9.9156729999999994E-4</v>
      </c>
    </row>
    <row r="6578" spans="1:6" x14ac:dyDescent="0.25">
      <c r="A6578" t="s">
        <v>6</v>
      </c>
      <c r="B6578" s="5" t="str">
        <f>HYPERLINK("http://www.broadinstitute.org/gsea/msigdb/cards/GOBP_MITOCHONDRIAL_ELECTRON_TRANSPORT_CYTOCHROME_C_TO_OXYGEN.html","GOBP_MITOCHONDRIAL_ELECTRON_TRANSPORT_CYTOCHROME_C_TO_OXYGEN")</f>
        <v>GOBP_MITOCHONDRIAL_ELECTRON_TRANSPORT_CYTOCHROME_C_TO_OXYGEN</v>
      </c>
      <c r="C6578" s="4">
        <v>17</v>
      </c>
      <c r="D6578" s="3">
        <v>-2.178261</v>
      </c>
      <c r="E6578" s="1">
        <v>0</v>
      </c>
      <c r="F6578" s="2">
        <v>7.3086296000000005E-4</v>
      </c>
    </row>
    <row r="6579" spans="1:6" x14ac:dyDescent="0.25">
      <c r="A6579" t="s">
        <v>7</v>
      </c>
      <c r="B6579" s="5" t="str">
        <f>HYPERLINK("http://www.broadinstitute.org/gsea/msigdb/cards/GOCC_TELOMERASE_HOLOENZYME_COMPLEX.html","GOCC_TELOMERASE_HOLOENZYME_COMPLEX")</f>
        <v>GOCC_TELOMERASE_HOLOENZYME_COMPLEX</v>
      </c>
      <c r="C6579" s="4">
        <v>21</v>
      </c>
      <c r="D6579" s="3">
        <v>-2.2138401999999999</v>
      </c>
      <c r="E6579" s="1">
        <v>0</v>
      </c>
      <c r="F6579" s="2">
        <v>3.8352478000000002E-4</v>
      </c>
    </row>
    <row r="6580" spans="1:6" x14ac:dyDescent="0.25">
      <c r="A6580" t="s">
        <v>7</v>
      </c>
      <c r="B6580" s="5" t="str">
        <f>HYPERLINK("http://www.broadinstitute.org/gsea/msigdb/cards/GOCC_RIBOSOME.html","GOCC_RIBOSOME")</f>
        <v>GOCC_RIBOSOME</v>
      </c>
      <c r="C6580" s="4">
        <v>235</v>
      </c>
      <c r="D6580" s="3">
        <v>-2.2262545</v>
      </c>
      <c r="E6580" s="1">
        <v>0</v>
      </c>
      <c r="F6580" s="2">
        <v>3.1347948E-4</v>
      </c>
    </row>
    <row r="6581" spans="1:6" x14ac:dyDescent="0.25">
      <c r="A6581" t="s">
        <v>7</v>
      </c>
      <c r="B6581" s="5" t="str">
        <f>HYPERLINK("http://www.broadinstitute.org/gsea/msigdb/cards/GOCC_SM_LIKE_PROTEIN_FAMILY_COMPLEX.html","GOCC_SM_LIKE_PROTEIN_FAMILY_COMPLEX")</f>
        <v>GOCC_SM_LIKE_PROTEIN_FAMILY_COMPLEX</v>
      </c>
      <c r="C6581" s="4">
        <v>79</v>
      </c>
      <c r="D6581" s="3">
        <v>-2.2337294000000001</v>
      </c>
      <c r="E6581" s="1">
        <v>0</v>
      </c>
      <c r="F6581" s="2">
        <v>3.0103972000000001E-4</v>
      </c>
    </row>
    <row r="6582" spans="1:6" x14ac:dyDescent="0.25">
      <c r="A6582" t="s">
        <v>6</v>
      </c>
      <c r="B6582" s="5" t="str">
        <f>HYPERLINK("http://www.broadinstitute.org/gsea/msigdb/cards/GOBP_MITOCHONDRIAL_ELECTRON_TRANSPORT_NADH_TO_UBIQUINONE.html","GOBP_MITOCHONDRIAL_ELECTRON_TRANSPORT_NADH_TO_UBIQUINONE")</f>
        <v>GOBP_MITOCHONDRIAL_ELECTRON_TRANSPORT_NADH_TO_UBIQUINONE</v>
      </c>
      <c r="C6582" s="4">
        <v>23</v>
      </c>
      <c r="D6582" s="3">
        <v>-2.2514584000000002</v>
      </c>
      <c r="E6582" s="1">
        <v>0</v>
      </c>
      <c r="F6582" s="2">
        <v>1.631185E-4</v>
      </c>
    </row>
    <row r="6583" spans="1:6" x14ac:dyDescent="0.25">
      <c r="A6583" t="s">
        <v>7</v>
      </c>
      <c r="B6583" s="5" t="str">
        <f>HYPERLINK("http://www.broadinstitute.org/gsea/msigdb/cards/GOCC_PROTON_TRANSPORTING_ATP_SYNTHASE_COMPLEX.html","GOCC_PROTON_TRANSPORTING_ATP_SYNTHASE_COMPLEX")</f>
        <v>GOCC_PROTON_TRANSPORTING_ATP_SYNTHASE_COMPLEX</v>
      </c>
      <c r="C6583" s="4">
        <v>18</v>
      </c>
      <c r="D6583" s="3">
        <v>-2.2565813000000001</v>
      </c>
      <c r="E6583" s="1">
        <v>0</v>
      </c>
      <c r="F6583" s="2">
        <v>1.459071E-4</v>
      </c>
    </row>
    <row r="6584" spans="1:6" x14ac:dyDescent="0.25">
      <c r="A6584" t="s">
        <v>8</v>
      </c>
      <c r="B6584" s="5" t="str">
        <f>HYPERLINK("http://www.broadinstitute.org/gsea/msigdb/cards/GOMF_OXIDOREDUCTION_DRIVEN_ACTIVE_TRANSMEMBRANE_TRANSPORTER_ACTIVITY.html","GOMF_OXIDOREDUCTION_DRIVEN_ACTIVE_TRANSMEMBRANE_TRANSPORTER_ACTIVITY")</f>
        <v>GOMF_OXIDOREDUCTION_DRIVEN_ACTIVE_TRANSMEMBRANE_TRANSPORTER_ACTIVITY</v>
      </c>
      <c r="C6584" s="4">
        <v>22</v>
      </c>
      <c r="D6584" s="3">
        <v>-2.2916842000000002</v>
      </c>
      <c r="E6584" s="1">
        <v>0</v>
      </c>
      <c r="F6584" s="2">
        <v>4.2703894E-5</v>
      </c>
    </row>
    <row r="6585" spans="1:6" x14ac:dyDescent="0.25">
      <c r="A6585" t="s">
        <v>7</v>
      </c>
      <c r="B6585" s="5" t="str">
        <f>HYPERLINK("http://www.broadinstitute.org/gsea/msigdb/cards/GOCC_ATPASE_COMPLEX.html","GOCC_ATPASE_COMPLEX")</f>
        <v>GOCC_ATPASE_COMPLEX</v>
      </c>
      <c r="C6585" s="4">
        <v>143</v>
      </c>
      <c r="D6585" s="3">
        <v>-2.3008978</v>
      </c>
      <c r="E6585" s="1">
        <v>0</v>
      </c>
      <c r="F6585" s="2">
        <v>4.3798867000000001E-5</v>
      </c>
    </row>
    <row r="6586" spans="1:6" x14ac:dyDescent="0.25">
      <c r="A6586" t="s">
        <v>6</v>
      </c>
      <c r="B6586" s="5" t="str">
        <f>HYPERLINK("http://www.broadinstitute.org/gsea/msigdb/cards/GOBP_RNA_SPLICING_VIA_TRANSESTERIFICATION_REACTIONS.html","GOBP_RNA_SPLICING_VIA_TRANSESTERIFICATION_REACTIONS")</f>
        <v>GOBP_RNA_SPLICING_VIA_TRANSESTERIFICATION_REACTIONS</v>
      </c>
      <c r="C6586" s="4">
        <v>273</v>
      </c>
      <c r="D6586" s="3">
        <v>-2.3065175999999998</v>
      </c>
      <c r="E6586" s="1">
        <v>0</v>
      </c>
      <c r="F6586" s="2">
        <v>4.4951465999999998E-5</v>
      </c>
    </row>
    <row r="6587" spans="1:6" x14ac:dyDescent="0.25">
      <c r="A6587" t="s">
        <v>7</v>
      </c>
      <c r="B6587" s="5" t="str">
        <f>HYPERLINK("http://www.broadinstitute.org/gsea/msigdb/cards/GOCC_U1_SNRNP.html","GOCC_U1_SNRNP")</f>
        <v>GOCC_U1_SNRNP</v>
      </c>
      <c r="C6587" s="4">
        <v>18</v>
      </c>
      <c r="D6587" s="3">
        <v>-2.3164399000000002</v>
      </c>
      <c r="E6587" s="1">
        <v>0</v>
      </c>
      <c r="F6587" s="2">
        <v>4.6166372999999998E-5</v>
      </c>
    </row>
    <row r="6588" spans="1:6" x14ac:dyDescent="0.25">
      <c r="A6588" t="s">
        <v>7</v>
      </c>
      <c r="B6588" s="5" t="str">
        <f>HYPERLINK("http://www.broadinstitute.org/gsea/msigdb/cards/GOCC_LARGE_RIBOSOMAL_SUBUNIT.html","GOCC_LARGE_RIBOSOMAL_SUBUNIT")</f>
        <v>GOCC_LARGE_RIBOSOMAL_SUBUNIT</v>
      </c>
      <c r="C6588" s="4">
        <v>112</v>
      </c>
      <c r="D6588" s="3">
        <v>-2.3310303999999999</v>
      </c>
      <c r="E6588" s="1">
        <v>0</v>
      </c>
      <c r="F6588" s="2">
        <v>4.7448774999999997E-5</v>
      </c>
    </row>
    <row r="6589" spans="1:6" x14ac:dyDescent="0.25">
      <c r="A6589" t="s">
        <v>6</v>
      </c>
      <c r="B6589" s="5" t="str">
        <f>HYPERLINK("http://www.broadinstitute.org/gsea/msigdb/cards/GOBP_NUCLEOSIDE_TRIPHOSPHATE_BIOSYNTHETIC_PROCESS.html","GOBP_NUCLEOSIDE_TRIPHOSPHATE_BIOSYNTHETIC_PROCESS")</f>
        <v>GOBP_NUCLEOSIDE_TRIPHOSPHATE_BIOSYNTHETIC_PROCESS</v>
      </c>
      <c r="C6589" s="4">
        <v>109</v>
      </c>
      <c r="D6589" s="3">
        <v>-2.3796895</v>
      </c>
      <c r="E6589" s="1">
        <v>0</v>
      </c>
      <c r="F6589" s="2">
        <v>2.4162746000000001E-5</v>
      </c>
    </row>
    <row r="6590" spans="1:6" x14ac:dyDescent="0.25">
      <c r="A6590" t="s">
        <v>7</v>
      </c>
      <c r="B6590" s="5" t="str">
        <f>HYPERLINK("http://www.broadinstitute.org/gsea/msigdb/cards/GOCC_SMALL_NUCLEAR_RIBONUCLEOPROTEIN_COMPLEX.html","GOCC_SMALL_NUCLEAR_RIBONUCLEOPROTEIN_COMPLEX")</f>
        <v>GOCC_SMALL_NUCLEAR_RIBONUCLEOPROTEIN_COMPLEX</v>
      </c>
      <c r="C6590" s="4">
        <v>67</v>
      </c>
      <c r="D6590" s="3">
        <v>-2.3877842</v>
      </c>
      <c r="E6590" s="1">
        <v>0</v>
      </c>
      <c r="F6590" s="2">
        <v>2.4873415999999998E-5</v>
      </c>
    </row>
    <row r="6591" spans="1:6" x14ac:dyDescent="0.25">
      <c r="A6591" t="s">
        <v>6</v>
      </c>
      <c r="B6591" s="5" t="str">
        <f>HYPERLINK("http://www.broadinstitute.org/gsea/msigdb/cards/GOBP_MITOCHONDRIAL_GENE_EXPRESSION.html","GOBP_MITOCHONDRIAL_GENE_EXPRESSION")</f>
        <v>GOBP_MITOCHONDRIAL_GENE_EXPRESSION</v>
      </c>
      <c r="C6591" s="4">
        <v>165</v>
      </c>
      <c r="D6591" s="3">
        <v>-2.4088414</v>
      </c>
      <c r="E6591" s="1">
        <v>0</v>
      </c>
      <c r="F6591" s="2">
        <v>2.5627156000000001E-5</v>
      </c>
    </row>
    <row r="6592" spans="1:6" x14ac:dyDescent="0.25">
      <c r="A6592" t="s">
        <v>6</v>
      </c>
      <c r="B6592" s="5" t="str">
        <f>HYPERLINK("http://www.broadinstitute.org/gsea/msigdb/cards/GOBP_ENERGY_DERIVATION_BY_OXIDATION_OF_ORGANIC_COMPOUNDS.html","GOBP_ENERGY_DERIVATION_BY_OXIDATION_OF_ORGANIC_COMPOUNDS")</f>
        <v>GOBP_ENERGY_DERIVATION_BY_OXIDATION_OF_ORGANIC_COMPOUNDS</v>
      </c>
      <c r="C6592" s="4">
        <v>316</v>
      </c>
      <c r="D6592" s="3">
        <v>-2.4104510000000001</v>
      </c>
      <c r="E6592" s="1">
        <v>0</v>
      </c>
      <c r="F6592" s="2">
        <v>2.6428003999999999E-5</v>
      </c>
    </row>
    <row r="6593" spans="1:6" x14ac:dyDescent="0.25">
      <c r="A6593" t="s">
        <v>10</v>
      </c>
      <c r="B6593" s="5" t="str">
        <f>HYPERLINK("http://www.broadinstitute.org/gsea/msigdb/cards/REACTOME_TRANSLATION.html","REACTOME_TRANSLATION")</f>
        <v>REACTOME_TRANSLATION</v>
      </c>
      <c r="C6593" s="4">
        <v>218</v>
      </c>
      <c r="D6593" s="3">
        <v>-2.4220774</v>
      </c>
      <c r="E6593" s="1">
        <v>0</v>
      </c>
      <c r="F6593" s="2">
        <v>0</v>
      </c>
    </row>
    <row r="6594" spans="1:6" x14ac:dyDescent="0.25">
      <c r="A6594" t="s">
        <v>6</v>
      </c>
      <c r="B6594" s="5" t="str">
        <f>HYPERLINK("http://www.broadinstitute.org/gsea/msigdb/cards/GOBP_ATP_METABOLIC_PROCESS.html","GOBP_ATP_METABOLIC_PROCESS")</f>
        <v>GOBP_ATP_METABOLIC_PROCESS</v>
      </c>
      <c r="C6594" s="4">
        <v>122</v>
      </c>
      <c r="D6594" s="3">
        <v>-2.4441549999999999</v>
      </c>
      <c r="E6594" s="1">
        <v>0</v>
      </c>
      <c r="F6594" s="2">
        <v>0</v>
      </c>
    </row>
    <row r="6595" spans="1:6" x14ac:dyDescent="0.25">
      <c r="A6595" t="s">
        <v>7</v>
      </c>
      <c r="B6595" s="5" t="str">
        <f>HYPERLINK("http://www.broadinstitute.org/gsea/msigdb/cards/GOCC_MITOCHONDRIAL_LARGE_RIBOSOMAL_SUBUNIT.html","GOCC_MITOCHONDRIAL_LARGE_RIBOSOMAL_SUBUNIT")</f>
        <v>GOCC_MITOCHONDRIAL_LARGE_RIBOSOMAL_SUBUNIT</v>
      </c>
      <c r="C6595" s="4">
        <v>56</v>
      </c>
      <c r="D6595" s="3">
        <v>-2.4538514999999999</v>
      </c>
      <c r="E6595" s="1">
        <v>0</v>
      </c>
      <c r="F6595" s="2">
        <v>0</v>
      </c>
    </row>
    <row r="6596" spans="1:6" x14ac:dyDescent="0.25">
      <c r="A6596" t="s">
        <v>7</v>
      </c>
      <c r="B6596" s="5" t="str">
        <f>HYPERLINK("http://www.broadinstitute.org/gsea/msigdb/cards/GOCC_RIBOSOMAL_SUBUNIT.html","GOCC_RIBOSOMAL_SUBUNIT")</f>
        <v>GOCC_RIBOSOMAL_SUBUNIT</v>
      </c>
      <c r="C6596" s="4">
        <v>184</v>
      </c>
      <c r="D6596" s="3">
        <v>-2.4549837000000001</v>
      </c>
      <c r="E6596" s="1">
        <v>0</v>
      </c>
      <c r="F6596" s="2">
        <v>0</v>
      </c>
    </row>
    <row r="6597" spans="1:6" x14ac:dyDescent="0.25">
      <c r="A6597" t="s">
        <v>7</v>
      </c>
      <c r="B6597" s="5" t="str">
        <f>HYPERLINK("http://www.broadinstitute.org/gsea/msigdb/cards/GOCC_SWI_SNF_COMPLEX.html","GOCC_SWI_SNF_COMPLEX")</f>
        <v>GOCC_SWI_SNF_COMPLEX</v>
      </c>
      <c r="C6597" s="4">
        <v>28</v>
      </c>
      <c r="D6597" s="3">
        <v>-2.4665781999999998</v>
      </c>
      <c r="E6597" s="1">
        <v>0</v>
      </c>
      <c r="F6597" s="2">
        <v>0</v>
      </c>
    </row>
    <row r="6598" spans="1:6" x14ac:dyDescent="0.25">
      <c r="A6598" t="s">
        <v>9</v>
      </c>
      <c r="B6598" s="5" t="str">
        <f>HYPERLINK("http://www.broadinstitute.org/gsea/msigdb/cards/HALLMARK_OXIDATIVE_PHOSPHORYLATION.html","HALLMARK_OXIDATIVE_PHOSPHORYLATION")</f>
        <v>HALLMARK_OXIDATIVE_PHOSPHORYLATION</v>
      </c>
      <c r="C6598" s="4">
        <v>193</v>
      </c>
      <c r="D6598" s="3">
        <v>-2.4746606</v>
      </c>
      <c r="E6598" s="1">
        <v>0</v>
      </c>
      <c r="F6598" s="2">
        <v>0</v>
      </c>
    </row>
    <row r="6599" spans="1:6" x14ac:dyDescent="0.25">
      <c r="A6599" t="s">
        <v>6</v>
      </c>
      <c r="B6599" s="5" t="str">
        <f>HYPERLINK("http://www.broadinstitute.org/gsea/msigdb/cards/GOBP_CELLULAR_RESPIRATION.html","GOBP_CELLULAR_RESPIRATION")</f>
        <v>GOBP_CELLULAR_RESPIRATION</v>
      </c>
      <c r="C6599" s="4">
        <v>225</v>
      </c>
      <c r="D6599" s="3">
        <v>-2.5160246000000002</v>
      </c>
      <c r="E6599" s="1">
        <v>0</v>
      </c>
      <c r="F6599" s="2">
        <v>0</v>
      </c>
    </row>
    <row r="6600" spans="1:6" x14ac:dyDescent="0.25">
      <c r="A6600" t="s">
        <v>8</v>
      </c>
      <c r="B6600" s="5" t="str">
        <f>HYPERLINK("http://www.broadinstitute.org/gsea/msigdb/cards/GOMF_STRUCTURAL_CONSTITUENT_OF_RIBOSOME.html","GOMF_STRUCTURAL_CONSTITUENT_OF_RIBOSOME")</f>
        <v>GOMF_STRUCTURAL_CONSTITUENT_OF_RIBOSOME</v>
      </c>
      <c r="C6600" s="4">
        <v>155</v>
      </c>
      <c r="D6600" s="3">
        <v>-2.5282806999999998</v>
      </c>
      <c r="E6600" s="1">
        <v>0</v>
      </c>
      <c r="F6600" s="2">
        <v>0</v>
      </c>
    </row>
    <row r="6601" spans="1:6" x14ac:dyDescent="0.25">
      <c r="A6601" t="s">
        <v>10</v>
      </c>
      <c r="B6601" s="5" t="str">
        <f>HYPERLINK("http://www.broadinstitute.org/gsea/msigdb/cards/REACTOME_MITOCHONDRIAL_TRANSLATION.html","REACTOME_MITOCHONDRIAL_TRANSLATION")</f>
        <v>REACTOME_MITOCHONDRIAL_TRANSLATION</v>
      </c>
      <c r="C6601" s="4">
        <v>89</v>
      </c>
      <c r="D6601" s="3">
        <v>-2.5283608000000002</v>
      </c>
      <c r="E6601" s="1">
        <v>0</v>
      </c>
      <c r="F6601" s="2">
        <v>0</v>
      </c>
    </row>
    <row r="6602" spans="1:6" x14ac:dyDescent="0.25">
      <c r="A6602" t="s">
        <v>6</v>
      </c>
      <c r="B6602" s="5" t="str">
        <f>HYPERLINK("http://www.broadinstitute.org/gsea/msigdb/cards/GOBP_MITOCHONDRIAL_TRANSLATION.html","GOBP_MITOCHONDRIAL_TRANSLATION")</f>
        <v>GOBP_MITOCHONDRIAL_TRANSLATION</v>
      </c>
      <c r="C6602" s="4">
        <v>129</v>
      </c>
      <c r="D6602" s="3">
        <v>-2.5427819999999999</v>
      </c>
      <c r="E6602" s="1">
        <v>0</v>
      </c>
      <c r="F6602" s="2">
        <v>0</v>
      </c>
    </row>
    <row r="6603" spans="1:6" x14ac:dyDescent="0.25">
      <c r="A6603" t="s">
        <v>7</v>
      </c>
      <c r="B6603" s="5" t="str">
        <f>HYPERLINK("http://www.broadinstitute.org/gsea/msigdb/cards/GOCC_ORGANELLAR_RIBOSOME.html","GOCC_ORGANELLAR_RIBOSOME")</f>
        <v>GOCC_ORGANELLAR_RIBOSOME</v>
      </c>
      <c r="C6603" s="4">
        <v>89</v>
      </c>
      <c r="D6603" s="3">
        <v>-2.5470215999999999</v>
      </c>
      <c r="E6603" s="1">
        <v>0</v>
      </c>
      <c r="F6603" s="2">
        <v>0</v>
      </c>
    </row>
    <row r="6604" spans="1:6" x14ac:dyDescent="0.25">
      <c r="A6604" t="s">
        <v>6</v>
      </c>
      <c r="B6604" s="5" t="str">
        <f>HYPERLINK("http://www.broadinstitute.org/gsea/msigdb/cards/GOBP_ATP_BIOSYNTHETIC_PROCESS.html","GOBP_ATP_BIOSYNTHETIC_PROCESS")</f>
        <v>GOBP_ATP_BIOSYNTHETIC_PROCESS</v>
      </c>
      <c r="C6604" s="4">
        <v>88</v>
      </c>
      <c r="D6604" s="3">
        <v>-2.5889175</v>
      </c>
      <c r="E6604" s="1">
        <v>0</v>
      </c>
      <c r="F6604" s="2">
        <v>0</v>
      </c>
    </row>
    <row r="6605" spans="1:6" x14ac:dyDescent="0.25">
      <c r="A6605" t="s">
        <v>7</v>
      </c>
      <c r="B6605" s="5" t="str">
        <f>HYPERLINK("http://www.broadinstitute.org/gsea/msigdb/cards/GOCC_OXIDOREDUCTASE_COMPLEX.html","GOCC_OXIDOREDUCTASE_COMPLEX")</f>
        <v>GOCC_OXIDOREDUCTASE_COMPLEX</v>
      </c>
      <c r="C6605" s="4">
        <v>109</v>
      </c>
      <c r="D6605" s="3">
        <v>-2.5898914</v>
      </c>
      <c r="E6605" s="1">
        <v>0</v>
      </c>
      <c r="F6605" s="2">
        <v>0</v>
      </c>
    </row>
    <row r="6606" spans="1:6" x14ac:dyDescent="0.25">
      <c r="A6606" t="s">
        <v>6</v>
      </c>
      <c r="B6606" s="5" t="str">
        <f>HYPERLINK("http://www.broadinstitute.org/gsea/msigdb/cards/GOBP_ELECTRON_TRANSPORT_CHAIN.html","GOBP_ELECTRON_TRANSPORT_CHAIN")</f>
        <v>GOBP_ELECTRON_TRANSPORT_CHAIN</v>
      </c>
      <c r="C6606" s="4">
        <v>98</v>
      </c>
      <c r="D6606" s="3">
        <v>-2.6717409999999999</v>
      </c>
      <c r="E6606" s="1">
        <v>0</v>
      </c>
      <c r="F6606" s="2">
        <v>0</v>
      </c>
    </row>
    <row r="6607" spans="1:6" x14ac:dyDescent="0.25">
      <c r="A6607" t="s">
        <v>6</v>
      </c>
      <c r="B6607" s="5" t="str">
        <f>HYPERLINK("http://www.broadinstitute.org/gsea/msigdb/cards/GOBP_NADH_DEHYDROGENASE_COMPLEX_ASSEMBLY.html","GOBP_NADH_DEHYDROGENASE_COMPLEX_ASSEMBLY")</f>
        <v>GOBP_NADH_DEHYDROGENASE_COMPLEX_ASSEMBLY</v>
      </c>
      <c r="C6607" s="4">
        <v>54</v>
      </c>
      <c r="D6607" s="3">
        <v>-2.6727080000000001</v>
      </c>
      <c r="E6607" s="1">
        <v>0</v>
      </c>
      <c r="F6607" s="2">
        <v>0</v>
      </c>
    </row>
    <row r="6608" spans="1:6" x14ac:dyDescent="0.25">
      <c r="A6608" t="s">
        <v>6</v>
      </c>
      <c r="B6608" s="5" t="str">
        <f>HYPERLINK("http://www.broadinstitute.org/gsea/msigdb/cards/GOBP_AEROBIC_RESPIRATION.html","GOBP_AEROBIC_RESPIRATION")</f>
        <v>GOBP_AEROBIC_RESPIRATION</v>
      </c>
      <c r="C6608" s="4">
        <v>172</v>
      </c>
      <c r="D6608" s="3">
        <v>-2.6736338000000002</v>
      </c>
      <c r="E6608" s="1">
        <v>0</v>
      </c>
      <c r="F6608" s="2">
        <v>0</v>
      </c>
    </row>
    <row r="6609" spans="1:6" x14ac:dyDescent="0.25">
      <c r="A6609" t="s">
        <v>6</v>
      </c>
      <c r="B6609" s="5" t="str">
        <f>HYPERLINK("http://www.broadinstitute.org/gsea/msigdb/cards/GOBP_ATP_SYNTHESIS_COUPLED_ELECTRON_TRANSPORT.html","GOBP_ATP_SYNTHESIS_COUPLED_ELECTRON_TRANSPORT")</f>
        <v>GOBP_ATP_SYNTHESIS_COUPLED_ELECTRON_TRANSPORT</v>
      </c>
      <c r="C6609" s="4">
        <v>67</v>
      </c>
      <c r="D6609" s="3">
        <v>-2.7264678</v>
      </c>
      <c r="E6609" s="1">
        <v>0</v>
      </c>
      <c r="F6609" s="2">
        <v>0</v>
      </c>
    </row>
    <row r="6610" spans="1:6" x14ac:dyDescent="0.25">
      <c r="A6610" t="s">
        <v>6</v>
      </c>
      <c r="B6610" s="5" t="str">
        <f>HYPERLINK("http://www.broadinstitute.org/gsea/msigdb/cards/GOBP_AEROBIC_ELECTRON_TRANSPORT_CHAIN.html","GOBP_AEROBIC_ELECTRON_TRANSPORT_CHAIN")</f>
        <v>GOBP_AEROBIC_ELECTRON_TRANSPORT_CHAIN</v>
      </c>
      <c r="C6610" s="4">
        <v>55</v>
      </c>
      <c r="D6610" s="3">
        <v>-2.7710080000000001</v>
      </c>
      <c r="E6610" s="1">
        <v>0</v>
      </c>
      <c r="F6610" s="2">
        <v>0</v>
      </c>
    </row>
    <row r="6611" spans="1:6" x14ac:dyDescent="0.25">
      <c r="A6611" t="s">
        <v>11</v>
      </c>
      <c r="B6611" s="5" t="str">
        <f>HYPERLINK("http://www.broadinstitute.org/gsea/msigdb/cards/WP_OXIDATIVE_PHOSPHORYLATION.html","WP_OXIDATIVE_PHOSPHORYLATION")</f>
        <v>WP_OXIDATIVE_PHOSPHORYLATION</v>
      </c>
      <c r="C6611" s="4">
        <v>45</v>
      </c>
      <c r="D6611" s="3">
        <v>-2.7846308</v>
      </c>
      <c r="E6611" s="1">
        <v>0</v>
      </c>
      <c r="F6611" s="2">
        <v>0</v>
      </c>
    </row>
    <row r="6612" spans="1:6" x14ac:dyDescent="0.25">
      <c r="A6612" t="s">
        <v>6</v>
      </c>
      <c r="B6612" s="5" t="str">
        <f>HYPERLINK("http://www.broadinstitute.org/gsea/msigdb/cards/GOBP_MITOCHONDRIAL_RESPIRATORY_CHAIN_COMPLEX_ASSEMBLY.html","GOBP_MITOCHONDRIAL_RESPIRATORY_CHAIN_COMPLEX_ASSEMBLY")</f>
        <v>GOBP_MITOCHONDRIAL_RESPIRATORY_CHAIN_COMPLEX_ASSEMBLY</v>
      </c>
      <c r="C6612" s="4">
        <v>91</v>
      </c>
      <c r="D6612" s="3">
        <v>-2.8137012000000001</v>
      </c>
      <c r="E6612" s="1">
        <v>0</v>
      </c>
      <c r="F6612" s="2">
        <v>0</v>
      </c>
    </row>
    <row r="6613" spans="1:6" x14ac:dyDescent="0.25">
      <c r="A6613" t="s">
        <v>10</v>
      </c>
      <c r="B6613" s="5" t="str">
        <f>HYPERLINK("http://www.broadinstitute.org/gsea/msigdb/cards/REACTOME_COMPLEX_I_BIOGENESIS.html","REACTOME_COMPLEX_I_BIOGENESIS")</f>
        <v>REACTOME_COMPLEX_I_BIOGENESIS</v>
      </c>
      <c r="C6613" s="4">
        <v>48</v>
      </c>
      <c r="D6613" s="3">
        <v>-2.8390477000000001</v>
      </c>
      <c r="E6613" s="1">
        <v>0</v>
      </c>
      <c r="F6613" s="2">
        <v>0</v>
      </c>
    </row>
    <row r="6614" spans="1:6" x14ac:dyDescent="0.25">
      <c r="A6614" t="s">
        <v>10</v>
      </c>
      <c r="B6614" s="5" t="str">
        <f>HYPERLINK("http://www.broadinstitute.org/gsea/msigdb/cards/REACTOME_THE_CITRIC_ACID_TCA_CYCLE_AND_RESPIRATORY_ELECTRON_TRANSPORT.html","REACTOME_THE_CITRIC_ACID_TCA_CYCLE_AND_RESPIRATORY_ELECTRON_TRANSPORT")</f>
        <v>REACTOME_THE_CITRIC_ACID_TCA_CYCLE_AND_RESPIRATORY_ELECTRON_TRANSPORT</v>
      </c>
      <c r="C6614" s="4">
        <v>151</v>
      </c>
      <c r="D6614" s="3">
        <v>-2.8775963999999998</v>
      </c>
      <c r="E6614" s="1">
        <v>0</v>
      </c>
      <c r="F6614" s="2">
        <v>0</v>
      </c>
    </row>
    <row r="6615" spans="1:6" x14ac:dyDescent="0.25">
      <c r="A6615" t="s">
        <v>11</v>
      </c>
      <c r="B6615" s="5" t="str">
        <f>HYPERLINK("http://www.broadinstitute.org/gsea/msigdb/cards/WP_ELECTRON_TRANSPORT_CHAIN.html","WP_ELECTRON_TRANSPORT_CHAIN")</f>
        <v>WP_ELECTRON_TRANSPORT_CHAIN</v>
      </c>
      <c r="C6615" s="4">
        <v>79</v>
      </c>
      <c r="D6615" s="3">
        <v>-2.8890169000000001</v>
      </c>
      <c r="E6615" s="1">
        <v>0</v>
      </c>
      <c r="F6615" s="2">
        <v>0</v>
      </c>
    </row>
    <row r="6616" spans="1:6" x14ac:dyDescent="0.25">
      <c r="A6616" t="s">
        <v>6</v>
      </c>
      <c r="B6616" s="5" t="str">
        <f>HYPERLINK("http://www.broadinstitute.org/gsea/msigdb/cards/GOBP_OXIDATIVE_PHOSPHORYLATION.html","GOBP_OXIDATIVE_PHOSPHORYLATION")</f>
        <v>GOBP_OXIDATIVE_PHOSPHORYLATION</v>
      </c>
      <c r="C6616" s="4">
        <v>126</v>
      </c>
      <c r="D6616" s="3">
        <v>-2.9138066999999999</v>
      </c>
      <c r="E6616" s="1">
        <v>0</v>
      </c>
      <c r="F6616" s="2">
        <v>0</v>
      </c>
    </row>
    <row r="6617" spans="1:6" x14ac:dyDescent="0.25">
      <c r="A6617" t="s">
        <v>7</v>
      </c>
      <c r="B6617" s="5" t="str">
        <f>HYPERLINK("http://www.broadinstitute.org/gsea/msigdb/cards/GOCC_NADH_DEHYDROGENASE_COMPLEX.html","GOCC_NADH_DEHYDROGENASE_COMPLEX")</f>
        <v>GOCC_NADH_DEHYDROGENASE_COMPLEX</v>
      </c>
      <c r="C6617" s="4">
        <v>41</v>
      </c>
      <c r="D6617" s="3">
        <v>-2.9283671</v>
      </c>
      <c r="E6617" s="1">
        <v>0</v>
      </c>
      <c r="F6617" s="2">
        <v>0</v>
      </c>
    </row>
    <row r="6618" spans="1:6" x14ac:dyDescent="0.25">
      <c r="A6618" t="s">
        <v>10</v>
      </c>
      <c r="B6618" s="5" t="str">
        <f>HYPERLINK("http://www.broadinstitute.org/gsea/msigdb/cards/REACTOME_RESPIRATORY_ELECTRON_TRANSPORT.html","REACTOME_RESPIRATORY_ELECTRON_TRANSPORT")</f>
        <v>REACTOME_RESPIRATORY_ELECTRON_TRANSPORT</v>
      </c>
      <c r="C6618" s="4">
        <v>84</v>
      </c>
      <c r="D6618" s="3">
        <v>-2.9935063999999998</v>
      </c>
      <c r="E6618" s="1">
        <v>0</v>
      </c>
      <c r="F6618" s="2">
        <v>0</v>
      </c>
    </row>
    <row r="6619" spans="1:6" x14ac:dyDescent="0.25">
      <c r="A6619" t="s">
        <v>10</v>
      </c>
      <c r="B6619" s="5" t="str">
        <f>HYPERLINK("http://www.broadinstitute.org/gsea/msigdb/cards/REACTOME_RESPIRATORY_ELECTRON_TRANSPORT_ATP_SYNTHESIS_BY_CHEMIOSMOTIC_COUPLING_AND_HEAT_PRODUCTION_BY_UNCOUPLING_PROTEINS.html","REACTOME_RESPIRATORY_ELECTRON_TRANSPORT_ATP_SYNTHESIS_BY_CHEMIOSMOTIC_COUPLING_AND_HEAT_PRODUCTION_BY_UNCOUPLING_PROTEINS")</f>
        <v>REACTOME_RESPIRATORY_ELECTRON_TRANSPORT_ATP_SYNTHESIS_BY_CHEMIOSMOTIC_COUPLING_AND_HEAT_PRODUCTION_BY_UNCOUPLING_PROTEINS</v>
      </c>
      <c r="C6619" s="4">
        <v>105</v>
      </c>
      <c r="D6619" s="3">
        <v>-2.9951823000000002</v>
      </c>
      <c r="E6619" s="1">
        <v>0</v>
      </c>
      <c r="F6619" s="2">
        <v>0</v>
      </c>
    </row>
    <row r="6620" spans="1:6" x14ac:dyDescent="0.25">
      <c r="A6620" t="s">
        <v>7</v>
      </c>
      <c r="B6620" s="5" t="str">
        <f>HYPERLINK("http://www.broadinstitute.org/gsea/msigdb/cards/GOCC_MITOCHONDRIAL_PROTEIN_CONTAINING_COMPLEX.html","GOCC_MITOCHONDRIAL_PROTEIN_CONTAINING_COMPLEX")</f>
        <v>GOCC_MITOCHONDRIAL_PROTEIN_CONTAINING_COMPLEX</v>
      </c>
      <c r="C6620" s="4">
        <v>274</v>
      </c>
      <c r="D6620" s="3">
        <v>-2.9959775999999998</v>
      </c>
      <c r="E6620" s="1">
        <v>0</v>
      </c>
      <c r="F6620" s="2">
        <v>0</v>
      </c>
    </row>
    <row r="6621" spans="1:6" x14ac:dyDescent="0.25">
      <c r="A6621" t="s">
        <v>7</v>
      </c>
      <c r="B6621" s="5" t="str">
        <f>HYPERLINK("http://www.broadinstitute.org/gsea/msigdb/cards/GOCC_RESPIRASOME.html","GOCC_RESPIRASOME")</f>
        <v>GOCC_RESPIRASOME</v>
      </c>
      <c r="C6621" s="4">
        <v>81</v>
      </c>
      <c r="D6621" s="3">
        <v>-2.9988722999999999</v>
      </c>
      <c r="E6621" s="1">
        <v>0</v>
      </c>
      <c r="F6621" s="2">
        <v>0</v>
      </c>
    </row>
    <row r="6622" spans="1:6" x14ac:dyDescent="0.25">
      <c r="A6622" t="s">
        <v>7</v>
      </c>
      <c r="B6622" s="5" t="str">
        <f>HYPERLINK("http://www.broadinstitute.org/gsea/msigdb/cards/GOCC_INNER_MITOCHONDRIAL_MEMBRANE_PROTEIN_COMPLEX.html","GOCC_INNER_MITOCHONDRIAL_MEMBRANE_PROTEIN_COMPLEX")</f>
        <v>GOCC_INNER_MITOCHONDRIAL_MEMBRANE_PROTEIN_COMPLEX</v>
      </c>
      <c r="C6622" s="4">
        <v>129</v>
      </c>
      <c r="D6622" s="3">
        <v>-3.0415787999999999</v>
      </c>
      <c r="E6622" s="1">
        <v>0</v>
      </c>
      <c r="F6622" s="2">
        <v>0</v>
      </c>
    </row>
    <row r="6623" spans="1:6" x14ac:dyDescent="0.25">
      <c r="A6623" t="s">
        <v>6</v>
      </c>
      <c r="B6623" s="5" t="str">
        <f>HYPERLINK("http://www.broadinstitute.org/gsea/msigdb/cards/GOBP_PROTON_MOTIVE_FORCE_DRIVEN_ATP_SYNTHESIS.html","GOBP_PROTON_MOTIVE_FORCE_DRIVEN_ATP_SYNTHESIS")</f>
        <v>GOBP_PROTON_MOTIVE_FORCE_DRIVEN_ATP_SYNTHESIS</v>
      </c>
      <c r="C6623" s="4">
        <v>58</v>
      </c>
      <c r="D6623" s="3">
        <v>-3.0491945999999999</v>
      </c>
      <c r="E6623" s="1">
        <v>0</v>
      </c>
      <c r="F6623" s="2">
        <v>0</v>
      </c>
    </row>
    <row r="6624" spans="1:6" ht="15.75" x14ac:dyDescent="0.25">
      <c r="A6624" s="13" t="s">
        <v>14</v>
      </c>
    </row>
  </sheetData>
  <autoFilter ref="A3:F3" xr:uid="{B2B93CD7-57D2-420C-98F9-A7D9A4095B5A}">
    <sortState xmlns:xlrd2="http://schemas.microsoft.com/office/spreadsheetml/2017/richdata2" ref="A4:F6635">
      <sortCondition descending="1" ref="D3"/>
    </sortState>
  </autoFilter>
  <mergeCells count="1">
    <mergeCell ref="D2:F2"/>
  </mergeCells>
  <conditionalFormatting sqref="F1:F1048576">
    <cfRule type="cellIs" dxfId="0" priority="1" operator="lessThan">
      <formula>0.25</formula>
    </cfRule>
    <cfRule type="colorScale" priority="2">
      <colorScale>
        <cfvo type="num" val="0"/>
        <cfvo type="num" val="0.25"/>
        <color rgb="FFFF7128"/>
        <color theme="0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Compiled GSEA results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C. Gower</dc:creator>
  <cp:lastModifiedBy>VM</cp:lastModifiedBy>
  <dcterms:created xsi:type="dcterms:W3CDTF">2016-01-05T17:12:44Z</dcterms:created>
  <dcterms:modified xsi:type="dcterms:W3CDTF">2024-11-24T12:43:25Z</dcterms:modified>
</cp:coreProperties>
</file>